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comeModel" sheetId="1" r:id="rId1"/>
    <sheet name="IncomeSummary" sheetId="2" r:id="rId2"/>
    <sheet name="Rent Tables" sheetId="3" r:id="rId3"/>
    <sheet name="Expense Tables" sheetId="4" r:id="rId4"/>
    <sheet name="Cap Rate Tables" sheetId="5" r:id="rId5"/>
    <sheet name="Adjustment Tables" sheetId="6" r:id="rId6"/>
  </sheets>
  <definedNames/>
  <calcPr fullCalcOnLoad="1"/>
</workbook>
</file>

<file path=xl/sharedStrings.xml><?xml version="1.0" encoding="utf-8"?>
<sst xmlns="http://schemas.openxmlformats.org/spreadsheetml/2006/main" count="463" uniqueCount="174">
  <si>
    <t>Coef.</t>
  </si>
  <si>
    <t>Variable</t>
  </si>
  <si>
    <t>EXP(Coef.)</t>
  </si>
  <si>
    <t>Unit Mix</t>
  </si>
  <si>
    <t>Multiplier</t>
  </si>
  <si>
    <t>Linear Wgt.</t>
  </si>
  <si>
    <t>*</t>
  </si>
  <si>
    <t>**</t>
  </si>
  <si>
    <t>***</t>
  </si>
  <si>
    <t>IF (quality = "L") linqual = .90.</t>
  </si>
  <si>
    <t>IF (quality = "F") linqual = .95.</t>
  </si>
  <si>
    <t>IF (quality = "A") linqual = 1.00.</t>
  </si>
  <si>
    <t>IF (quality = "G") linqual = 1.00.</t>
  </si>
  <si>
    <t>IF (quality = "V") linqual = 1.05.</t>
  </si>
  <si>
    <t>IF (quality = "E") linqual = 1.10.</t>
  </si>
  <si>
    <t>IF (condition = "VP") lincond = .75.</t>
  </si>
  <si>
    <t>IF (condition = "PR") lincond = .85.</t>
  </si>
  <si>
    <t>IF (condition = "FR") lincond = .95.</t>
  </si>
  <si>
    <t>IF (condition = "AV") lincond = 1.00.</t>
  </si>
  <si>
    <t>IF (condition = "GD") lincond = 1.05.</t>
  </si>
  <si>
    <t>IF (condition = "VG") lincond = 1.10.</t>
  </si>
  <si>
    <t>IF (condition = "EX") lincond = 1.15.</t>
  </si>
  <si>
    <t>IF (tenant_appeal = "POOR") linappeal = .90.</t>
  </si>
  <si>
    <t>IF (tenant_appeal = "FAIR") linappeal = .95.</t>
  </si>
  <si>
    <t>IF (tenant_appeal = "AVERAGE") linappeal = 1.00.</t>
  </si>
  <si>
    <t>IF (tenant_appeal = "GOOD") linappeal = 1.10.</t>
  </si>
  <si>
    <t>IF (tenant_appeal = "VERY GOOD") linappeal = 1.15.</t>
  </si>
  <si>
    <t>IF (tenant_appeal = "EXCELLENT") linappeal = 1.20.</t>
  </si>
  <si>
    <t>****</t>
  </si>
  <si>
    <t>*****</t>
  </si>
  <si>
    <t># of Units:</t>
  </si>
  <si>
    <t>Annual PGI:</t>
  </si>
  <si>
    <t>Unit Rent:</t>
  </si>
  <si>
    <t>Vacancy:</t>
  </si>
  <si>
    <t>Annual EGI:</t>
  </si>
  <si>
    <t>Constant</t>
  </si>
  <si>
    <t>ta_adjustment</t>
  </si>
  <si>
    <t>Apartment Capitalization Rate</t>
  </si>
  <si>
    <t>Multiplicative Model:</t>
  </si>
  <si>
    <t>Gross Apartment Rent</t>
  </si>
  <si>
    <t>Additive Model:</t>
  </si>
  <si>
    <t>Adjustment</t>
  </si>
  <si>
    <t>If tenant_appeal = "POOR" or "FAIR", ta_adj = 1 else ta_adj = 0</t>
  </si>
  <si>
    <t>TA Value</t>
  </si>
  <si>
    <t>Exp. Rate:</t>
  </si>
  <si>
    <t>Apartment Overall Expense Rate</t>
  </si>
  <si>
    <t>NOI:</t>
  </si>
  <si>
    <t>fair ta</t>
  </si>
  <si>
    <t>Cap Rate:</t>
  </si>
  <si>
    <t>Value Estimate:</t>
  </si>
  <si>
    <t>Gar/Crpt</t>
  </si>
  <si>
    <t>+</t>
  </si>
  <si>
    <t>++</t>
  </si>
  <si>
    <t>mixstudio</t>
  </si>
  <si>
    <t>effage</t>
  </si>
  <si>
    <t>units</t>
  </si>
  <si>
    <t>gar.stalls/units</t>
  </si>
  <si>
    <t>adj</t>
  </si>
  <si>
    <t>sqrt. of unit #</t>
  </si>
  <si>
    <t>INCOME APPROACH TO VALUE</t>
  </si>
  <si>
    <t>Parcel #:</t>
  </si>
  <si>
    <t>est</t>
  </si>
  <si>
    <t>Instructions for entering data in the shaded cells:</t>
  </si>
  <si>
    <t>Binary variables (enter 1 for yes and 0 for no)</t>
  </si>
  <si>
    <t>w</t>
  </si>
  <si>
    <t>Binary variables (enter 1 for yes and 0 for no).</t>
  </si>
  <si>
    <t>quality</t>
  </si>
  <si>
    <t>condition</t>
  </si>
  <si>
    <t>tenant appeal</t>
  </si>
  <si>
    <t>unit size</t>
  </si>
  <si>
    <t>region 20</t>
  </si>
  <si>
    <t>region 21 (base)</t>
  </si>
  <si>
    <t>region 22</t>
  </si>
  <si>
    <t>region 23</t>
  </si>
  <si>
    <t>region 24</t>
  </si>
  <si>
    <t>region 25</t>
  </si>
  <si>
    <t>region 26-30</t>
  </si>
  <si>
    <t>2009 APARTMENT VALUE ESTIMATOR</t>
  </si>
  <si>
    <t>mix 1bd/loft 1bth</t>
  </si>
  <si>
    <t>mix 2bd 1bth</t>
  </si>
  <si>
    <t>mix 2bd 2bth</t>
  </si>
  <si>
    <t>mix 3bd 1bth</t>
  </si>
  <si>
    <t>mix 3bd 2bth</t>
  </si>
  <si>
    <t>incl. taxes</t>
  </si>
  <si>
    <t>(weighted based on mix of units)</t>
  </si>
  <si>
    <t>(including taxes)</t>
  </si>
  <si>
    <t>mix studio</t>
  </si>
  <si>
    <t>region 26 - 30</t>
  </si>
  <si>
    <t>POOR</t>
  </si>
  <si>
    <t>FAIR</t>
  </si>
  <si>
    <t>AVERAGE</t>
  </si>
  <si>
    <t>GOOD</t>
  </si>
  <si>
    <t>VERY GOOD</t>
  </si>
  <si>
    <t>EXCELLENT</t>
  </si>
  <si>
    <t>T  E  N  A  N  T     A  P  P  E  A  L</t>
  </si>
  <si>
    <t>Base Rent</t>
  </si>
  <si>
    <t>Rent</t>
  </si>
  <si>
    <t>Method</t>
  </si>
  <si>
    <t>Coeficients</t>
  </si>
  <si>
    <t>Rent Table - Region 20 Nbhds</t>
  </si>
  <si>
    <t>Rent Table - Region 21 Nbhds</t>
  </si>
  <si>
    <t>Rent Table - Region 22 Nbhds</t>
  </si>
  <si>
    <t>Rent Table - Region 23 Nbhds</t>
  </si>
  <si>
    <t>Rent Table - Region 24 Nbhds</t>
  </si>
  <si>
    <t>Rent Table - Region 25 Nbhds</t>
  </si>
  <si>
    <t>Rent Table - Regions 26-30 Nbhds</t>
  </si>
  <si>
    <t>Region Adj.</t>
  </si>
  <si>
    <t>gar. stalls/units</t>
  </si>
  <si>
    <t>crpt. stalls/units</t>
  </si>
  <si>
    <t>G</t>
  </si>
  <si>
    <t>C</t>
  </si>
  <si>
    <t>1 &amp; 4</t>
  </si>
  <si>
    <t>actual size / 824 (enter 1 for typical size apartment units)</t>
  </si>
  <si>
    <t>actual # units / 20 (enter actual #, cell formula divides by 20)</t>
  </si>
  <si>
    <t>GROSS RENT MODEL</t>
  </si>
  <si>
    <t>******</t>
  </si>
  <si>
    <t>+++</t>
  </si>
  <si>
    <t>Limit multiplier to value for 5 or more years of effective age.</t>
  </si>
  <si>
    <t>Rent tables based on average quality and condition, typical unit size and # of units, and 25 year effective age.</t>
  </si>
  <si>
    <t>Base Rate</t>
  </si>
  <si>
    <t>EXPENSE RATE MODEL</t>
  </si>
  <si>
    <t>Coefficients</t>
  </si>
  <si>
    <t>Expense Table - All Regions</t>
  </si>
  <si>
    <t>100 - Apt</t>
  </si>
  <si>
    <t>&lt; avg ta</t>
  </si>
  <si>
    <t>Use Code</t>
  </si>
  <si>
    <t>Cap Rate Table - Region 20 Nbhds</t>
  </si>
  <si>
    <t>Cap Rate Table - Region 21 Nbhds</t>
  </si>
  <si>
    <t>Cap Rate Table - Region 22 Nbhds</t>
  </si>
  <si>
    <t>Cap Rate Table - Region 23 Nbhds</t>
  </si>
  <si>
    <t>Cap Rate Table - Region 24 Nbhds</t>
  </si>
  <si>
    <t>Cap Rate Table - Region 25 Nbhds</t>
  </si>
  <si>
    <t>Cap Rate Table - Region 26-30 Nbhds</t>
  </si>
  <si>
    <t>CAP RATE MODEL</t>
  </si>
  <si>
    <t>Coefficients Used in Developing Rent Adjustment Tables:</t>
  </si>
  <si>
    <t>Coefficients Used in Developing Cap Rate Adjustment Tables:</t>
  </si>
  <si>
    <t>* These are multiplicative adjustments</t>
  </si>
  <si>
    <t>Adjustments to Apartment Rents and Cap Rates</t>
  </si>
  <si>
    <t>Other than tenant appeal, no adjustments were necessay for expenses.</t>
  </si>
  <si>
    <t>LOW COST</t>
  </si>
  <si>
    <t>VERY POOR</t>
  </si>
  <si>
    <t>Factor</t>
  </si>
  <si>
    <t>C O N D I T I O N    R A T I N G   A D J U S T M E N T</t>
  </si>
  <si>
    <t>Q U A L I T Y   G R A D E   A D J U S T M E N T</t>
  </si>
  <si>
    <t>Age</t>
  </si>
  <si>
    <t>A G E    A D J U S T M E N T</t>
  </si>
  <si>
    <t>U N I T   S I Z E   A D J U S T M E N T</t>
  </si>
  <si>
    <t>#   O F   U N I T S   A D J U S T M E N T</t>
  </si>
  <si>
    <t># of Units</t>
  </si>
  <si>
    <t>SF per Unit</t>
  </si>
  <si>
    <t>sqrt # units</t>
  </si>
  <si>
    <t xml:space="preserve">**To apply this adjustment in Sigma, it should be based on the # of units within the entire complex </t>
  </si>
  <si>
    <t xml:space="preserve">   and not on the # of units on each income detail record for each unit type.</t>
  </si>
  <si>
    <t xml:space="preserve">   and not for each unit type entered on each income detail record.</t>
  </si>
  <si>
    <t>**The model is based on a typical unit size of 824 square feet and the factors are centered on that size.</t>
  </si>
  <si>
    <t>**To apply this adjustment within Sigma, the unit size should be the average for the entire complex</t>
  </si>
  <si>
    <t>**Based on effective year built.</t>
  </si>
  <si>
    <t>**The rate tables are based on 25 years effective age and the factors are centered on that effective age</t>
  </si>
  <si>
    <t>**Factor is centered on 20 units which is considered a typical size.</t>
  </si>
  <si>
    <t>*The model produces a lump sum adjustment.</t>
  </si>
  <si>
    <t>Additive Adj</t>
  </si>
  <si>
    <t xml:space="preserve">   and not on the # of units included on each income detail record for each unit type.</t>
  </si>
  <si>
    <t>If tenant_appeal = "POOR" or "FAIR", fair_ta = 1 else fair_ta = 0</t>
  </si>
  <si>
    <t>upper limit</t>
  </si>
  <si>
    <t>lower limit</t>
  </si>
  <si>
    <t>Cap rate tables adjusted based on  # of units.</t>
  </si>
  <si>
    <t>Cap Rate</t>
  </si>
  <si>
    <t>*The model cap rate for each size divided by the base rate converts the additive adjustment to a multiplier.</t>
  </si>
  <si>
    <t>crprts/units</t>
  </si>
  <si>
    <t>&gt;</t>
  </si>
  <si>
    <t>Coeficient adjusted from .0714 to match data summary.</t>
  </si>
  <si>
    <t>adj.</t>
  </si>
  <si>
    <t>83750022100</t>
  </si>
  <si>
    <t>Enter actual # (Formula limits multiplier to value for 45 or less units).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</si>
</sst>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&quot;$&quot;#,##0.00"/>
    <numFmt numFmtId="167" formatCode="&quot;$&quot;#,##0.0000"/>
    <numFmt numFmtId="168" formatCode="#,##0.0000"/>
    <numFmt numFmtId="169" formatCode="0.000"/>
    <numFmt numFmtId="170" formatCode="0.000000000000000"/>
    <numFmt numFmtId="171" formatCode="0.00000"/>
    <numFmt numFmtId="172" formatCode="0.000000"/>
  </numFmts>
  <fonts count="1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.5"/>
      <name val="Arial"/>
      <family val="0"/>
    </font>
    <font>
      <b/>
      <sz val="12"/>
      <color indexed="10"/>
      <name val="Arial"/>
      <family val="2"/>
    </font>
    <font>
      <b/>
      <sz val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/>
      <protection/>
    </xf>
    <xf numFmtId="10" fontId="4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" fontId="0" fillId="2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2" fontId="0" fillId="5" borderId="0" xfId="0" applyNumberFormat="1" applyFill="1" applyAlignment="1" applyProtection="1">
      <alignment/>
      <protection locked="0"/>
    </xf>
    <xf numFmtId="49" fontId="4" fillId="6" borderId="0" xfId="0" applyNumberFormat="1" applyFont="1" applyFill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/>
      <protection/>
    </xf>
    <xf numFmtId="2" fontId="0" fillId="8" borderId="0" xfId="0" applyNumberFormat="1" applyFill="1" applyAlignment="1" applyProtection="1">
      <alignment/>
      <protection locked="0"/>
    </xf>
    <xf numFmtId="0" fontId="0" fillId="8" borderId="0" xfId="0" applyFill="1" applyAlignment="1" applyProtection="1" quotePrefix="1">
      <alignment/>
      <protection/>
    </xf>
    <xf numFmtId="0" fontId="0" fillId="8" borderId="0" xfId="0" applyFill="1" applyAlignment="1" applyProtection="1">
      <alignment/>
      <protection/>
    </xf>
    <xf numFmtId="1" fontId="0" fillId="9" borderId="0" xfId="0" applyNumberFormat="1" applyFill="1" applyAlignment="1" applyProtection="1">
      <alignment/>
      <protection locked="0"/>
    </xf>
    <xf numFmtId="10" fontId="4" fillId="6" borderId="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0" fillId="9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/>
      <protection/>
    </xf>
    <xf numFmtId="1" fontId="0" fillId="11" borderId="0" xfId="0" applyNumberFormat="1" applyFill="1" applyAlignment="1" applyProtection="1">
      <alignment/>
      <protection locked="0"/>
    </xf>
    <xf numFmtId="0" fontId="0" fillId="11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left" wrapText="1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/>
    </xf>
    <xf numFmtId="1" fontId="0" fillId="12" borderId="0" xfId="0" applyNumberFormat="1" applyFill="1" applyAlignment="1" applyProtection="1">
      <alignment/>
      <protection locked="0"/>
    </xf>
    <xf numFmtId="0" fontId="0" fillId="12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1" fontId="0" fillId="13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Continuous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4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'Adjustment Tables'!$C$87:$C$102</c:f>
              <c:numCache>
                <c:ptCount val="11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</c:numCache>
            </c:numRef>
          </c:xVal>
          <c:yVal>
            <c:numRef>
              <c:f>'Adjustment Tables'!$G$87:$G$97</c:f>
              <c:numCache>
                <c:ptCount val="11"/>
                <c:pt idx="0">
                  <c:v>1.349206349206349</c:v>
                </c:pt>
                <c:pt idx="1">
                  <c:v>1.4943310657596371</c:v>
                </c:pt>
                <c:pt idx="2">
                  <c:v>1.6054421768707483</c:v>
                </c:pt>
                <c:pt idx="3">
                  <c:v>1.7006802721088434</c:v>
                </c:pt>
                <c:pt idx="4">
                  <c:v>1.782312925170068</c:v>
                </c:pt>
                <c:pt idx="5">
                  <c:v>1.8571428571428572</c:v>
                </c:pt>
                <c:pt idx="6">
                  <c:v>1.925170068027211</c:v>
                </c:pt>
                <c:pt idx="7">
                  <c:v>1.9886621315192743</c:v>
                </c:pt>
                <c:pt idx="8">
                  <c:v>2.0408163265306123</c:v>
                </c:pt>
                <c:pt idx="9">
                  <c:v>2.0408163265306123</c:v>
                </c:pt>
                <c:pt idx="10">
                  <c:v>2.0408163265306123</c:v>
                </c:pt>
              </c:numCache>
            </c:numRef>
          </c:yVal>
          <c:smooth val="0"/>
        </c:ser>
        <c:axId val="50162948"/>
        <c:axId val="48813349"/>
      </c:scatterChart>
      <c:val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crossBetween val="midCat"/>
        <c:dispUnits/>
      </c:valAx>
      <c:valAx>
        <c:axId val="48813349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85</xdr:row>
      <xdr:rowOff>0</xdr:rowOff>
    </xdr:from>
    <xdr:to>
      <xdr:col>13</xdr:col>
      <xdr:colOff>400050</xdr:colOff>
      <xdr:row>101</xdr:row>
      <xdr:rowOff>28575</xdr:rowOff>
    </xdr:to>
    <xdr:graphicFrame>
      <xdr:nvGraphicFramePr>
        <xdr:cNvPr id="1" name="Chart 1"/>
        <xdr:cNvGraphicFramePr/>
      </xdr:nvGraphicFramePr>
      <xdr:xfrm>
        <a:off x="5457825" y="14001750"/>
        <a:ext cx="40005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140625" style="2" customWidth="1"/>
    <col min="2" max="2" width="14.28125" style="2" customWidth="1"/>
    <col min="3" max="3" width="11.57421875" style="2" customWidth="1"/>
    <col min="4" max="4" width="10.7109375" style="2" customWidth="1"/>
    <col min="5" max="5" width="10.140625" style="2" customWidth="1"/>
    <col min="6" max="6" width="10.00390625" style="2" customWidth="1"/>
    <col min="7" max="7" width="3.7109375" style="2" customWidth="1"/>
    <col min="8" max="8" width="11.7109375" style="2" customWidth="1"/>
    <col min="9" max="9" width="13.421875" style="2" customWidth="1"/>
    <col min="10" max="10" width="9.8515625" style="2" customWidth="1"/>
    <col min="11" max="11" width="5.140625" style="2" customWidth="1"/>
    <col min="12" max="12" width="9.28125" style="2" bestFit="1" customWidth="1"/>
    <col min="13" max="16384" width="9.140625" style="2" customWidth="1"/>
  </cols>
  <sheetData>
    <row r="1" spans="1:10" ht="20.2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K2" s="50"/>
    </row>
    <row r="3" spans="1:11" ht="18">
      <c r="A3" s="3" t="s">
        <v>39</v>
      </c>
      <c r="K3" s="51" t="s">
        <v>62</v>
      </c>
    </row>
    <row r="4" spans="1:14" ht="12.75">
      <c r="A4" s="4" t="s">
        <v>38</v>
      </c>
      <c r="K4" s="52" t="s">
        <v>6</v>
      </c>
      <c r="L4" s="33" t="s">
        <v>9</v>
      </c>
      <c r="M4" s="33"/>
      <c r="N4" s="33"/>
    </row>
    <row r="5" spans="5:14" ht="12.75">
      <c r="E5" s="5" t="s">
        <v>3</v>
      </c>
      <c r="K5" s="50"/>
      <c r="L5" s="33" t="s">
        <v>10</v>
      </c>
      <c r="M5" s="33"/>
      <c r="N5" s="33"/>
    </row>
    <row r="6" spans="5:14" ht="12.75">
      <c r="E6" s="6" t="s">
        <v>5</v>
      </c>
      <c r="K6" s="50"/>
      <c r="L6" s="33" t="s">
        <v>11</v>
      </c>
      <c r="M6" s="33"/>
      <c r="N6" s="33"/>
    </row>
    <row r="7" spans="2:14" ht="12.75">
      <c r="B7" s="8" t="s">
        <v>1</v>
      </c>
      <c r="C7" s="9" t="s">
        <v>0</v>
      </c>
      <c r="D7" s="9" t="s">
        <v>2</v>
      </c>
      <c r="E7" s="9" t="s">
        <v>50</v>
      </c>
      <c r="F7" s="9" t="s">
        <v>4</v>
      </c>
      <c r="G7" s="9"/>
      <c r="H7" s="5"/>
      <c r="J7" s="9"/>
      <c r="K7" s="50"/>
      <c r="L7" s="33" t="s">
        <v>12</v>
      </c>
      <c r="M7" s="33"/>
      <c r="N7" s="33"/>
    </row>
    <row r="8" spans="2:14" ht="12.75">
      <c r="B8" s="2" t="s">
        <v>35</v>
      </c>
      <c r="C8" s="10">
        <v>6.8169</v>
      </c>
      <c r="D8" s="10">
        <f>EXP(C8)</f>
        <v>913.1498533133761</v>
      </c>
      <c r="E8" s="10"/>
      <c r="F8" s="10">
        <f>D8</f>
        <v>913.1498533133761</v>
      </c>
      <c r="G8" s="10"/>
      <c r="H8" s="11" t="s">
        <v>32</v>
      </c>
      <c r="I8" s="12">
        <f>F8*F9*F10*F11*F12*F13*F14*F15*F16*F17*F18*F19*F20*F21*F22*F23*F24*F25*F26*F27*F28*F29</f>
        <v>746.7421724422637</v>
      </c>
      <c r="K8" s="50"/>
      <c r="L8" s="33" t="s">
        <v>13</v>
      </c>
      <c r="M8" s="33"/>
      <c r="N8" s="33"/>
    </row>
    <row r="9" spans="2:14" ht="12.75">
      <c r="B9" s="2" t="s">
        <v>53</v>
      </c>
      <c r="C9" s="10">
        <v>-0.4302</v>
      </c>
      <c r="D9" s="10"/>
      <c r="E9" s="27">
        <v>0</v>
      </c>
      <c r="F9" s="10">
        <f aca="true" t="shared" si="0" ref="F9:F14">(1+E9)^C9</f>
        <v>1</v>
      </c>
      <c r="G9" s="10"/>
      <c r="H9" s="13"/>
      <c r="K9" s="50"/>
      <c r="L9" s="33" t="s">
        <v>14</v>
      </c>
      <c r="M9" s="33"/>
      <c r="N9" s="33"/>
    </row>
    <row r="10" spans="2:15" ht="12.75">
      <c r="B10" s="2" t="s">
        <v>78</v>
      </c>
      <c r="C10" s="10">
        <v>-0.1529</v>
      </c>
      <c r="D10" s="10"/>
      <c r="E10" s="27">
        <v>0</v>
      </c>
      <c r="F10" s="10">
        <f t="shared" si="0"/>
        <v>1</v>
      </c>
      <c r="G10" s="10"/>
      <c r="H10" s="14" t="s">
        <v>30</v>
      </c>
      <c r="I10" s="15">
        <f>E20</f>
        <v>50</v>
      </c>
      <c r="K10" s="52" t="s">
        <v>7</v>
      </c>
      <c r="L10" s="34" t="s">
        <v>15</v>
      </c>
      <c r="M10" s="34"/>
      <c r="N10" s="34"/>
      <c r="O10" s="34"/>
    </row>
    <row r="11" spans="2:15" ht="12.75">
      <c r="B11" s="2" t="s">
        <v>79</v>
      </c>
      <c r="C11" s="10">
        <v>0</v>
      </c>
      <c r="D11" s="10"/>
      <c r="E11" s="27">
        <v>1</v>
      </c>
      <c r="F11" s="10">
        <f t="shared" si="0"/>
        <v>1</v>
      </c>
      <c r="G11" s="10"/>
      <c r="H11" s="13"/>
      <c r="K11" s="50"/>
      <c r="L11" s="34" t="s">
        <v>16</v>
      </c>
      <c r="M11" s="34"/>
      <c r="N11" s="34"/>
      <c r="O11" s="34"/>
    </row>
    <row r="12" spans="2:15" ht="12.75">
      <c r="B12" s="2" t="s">
        <v>80</v>
      </c>
      <c r="C12" s="10">
        <v>0.1063</v>
      </c>
      <c r="D12" s="10"/>
      <c r="E12" s="27">
        <v>0</v>
      </c>
      <c r="F12" s="10">
        <f t="shared" si="0"/>
        <v>1</v>
      </c>
      <c r="G12" s="10"/>
      <c r="H12" s="14" t="s">
        <v>31</v>
      </c>
      <c r="I12" s="12">
        <f>I8*I10*12</f>
        <v>448045.3034653582</v>
      </c>
      <c r="K12" s="50"/>
      <c r="L12" s="34" t="s">
        <v>17</v>
      </c>
      <c r="M12" s="34"/>
      <c r="N12" s="34"/>
      <c r="O12" s="34"/>
    </row>
    <row r="13" spans="2:15" ht="12.75">
      <c r="B13" s="2" t="s">
        <v>81</v>
      </c>
      <c r="C13" s="10">
        <v>0.1484</v>
      </c>
      <c r="D13" s="10"/>
      <c r="E13" s="27">
        <v>0</v>
      </c>
      <c r="F13" s="10">
        <f t="shared" si="0"/>
        <v>1</v>
      </c>
      <c r="G13" s="10"/>
      <c r="H13" s="10"/>
      <c r="K13" s="50"/>
      <c r="L13" s="34" t="s">
        <v>18</v>
      </c>
      <c r="M13" s="34"/>
      <c r="N13" s="34"/>
      <c r="O13" s="34"/>
    </row>
    <row r="14" spans="2:15" ht="12.75">
      <c r="B14" s="2" t="s">
        <v>82</v>
      </c>
      <c r="C14" s="10">
        <v>0.2171</v>
      </c>
      <c r="D14" s="10"/>
      <c r="E14" s="27">
        <v>0</v>
      </c>
      <c r="F14" s="10">
        <f t="shared" si="0"/>
        <v>1</v>
      </c>
      <c r="G14" s="10"/>
      <c r="H14" s="14" t="s">
        <v>33</v>
      </c>
      <c r="I14" s="43">
        <v>0.02</v>
      </c>
      <c r="K14" s="50"/>
      <c r="L14" s="34" t="s">
        <v>19</v>
      </c>
      <c r="M14" s="34"/>
      <c r="N14" s="34"/>
      <c r="O14" s="34"/>
    </row>
    <row r="15" spans="1:15" ht="12.75">
      <c r="A15" s="6" t="s">
        <v>6</v>
      </c>
      <c r="B15" s="2" t="s">
        <v>66</v>
      </c>
      <c r="C15" s="10">
        <v>1.4178</v>
      </c>
      <c r="D15" s="10"/>
      <c r="E15" s="28">
        <v>1</v>
      </c>
      <c r="F15" s="10">
        <f>(E15)^C15</f>
        <v>1</v>
      </c>
      <c r="G15" s="10"/>
      <c r="H15" s="10"/>
      <c r="K15" s="50"/>
      <c r="L15" s="34" t="s">
        <v>20</v>
      </c>
      <c r="M15" s="34"/>
      <c r="N15" s="34"/>
      <c r="O15" s="34"/>
    </row>
    <row r="16" spans="1:15" ht="12.75">
      <c r="A16" s="7" t="s">
        <v>7</v>
      </c>
      <c r="B16" s="2" t="s">
        <v>67</v>
      </c>
      <c r="C16" s="10">
        <v>0.8366</v>
      </c>
      <c r="D16" s="10"/>
      <c r="E16" s="26">
        <v>1.05</v>
      </c>
      <c r="F16" s="10">
        <f>(E16)^C16</f>
        <v>1.0416623508671612</v>
      </c>
      <c r="G16" s="10"/>
      <c r="H16" s="14" t="s">
        <v>34</v>
      </c>
      <c r="I16" s="12">
        <f>I12*(1-I14)</f>
        <v>439084.39739605103</v>
      </c>
      <c r="K16" s="50"/>
      <c r="L16" s="34" t="s">
        <v>21</v>
      </c>
      <c r="M16" s="34"/>
      <c r="N16" s="34"/>
      <c r="O16" s="34"/>
    </row>
    <row r="17" spans="1:16" ht="12.75">
      <c r="A17" s="7" t="s">
        <v>8</v>
      </c>
      <c r="B17" s="2" t="s">
        <v>68</v>
      </c>
      <c r="C17" s="10">
        <v>0.8173</v>
      </c>
      <c r="D17" s="10"/>
      <c r="E17" s="35">
        <v>1</v>
      </c>
      <c r="F17" s="10">
        <f>(E17)^C17</f>
        <v>1</v>
      </c>
      <c r="G17" s="10"/>
      <c r="H17" s="10"/>
      <c r="K17" s="52" t="s">
        <v>8</v>
      </c>
      <c r="L17" s="36" t="s">
        <v>22</v>
      </c>
      <c r="M17" s="36"/>
      <c r="N17" s="36"/>
      <c r="O17" s="36"/>
      <c r="P17" s="36"/>
    </row>
    <row r="18" spans="1:16" ht="12.75">
      <c r="A18" s="7" t="s">
        <v>28</v>
      </c>
      <c r="B18" s="2" t="s">
        <v>54</v>
      </c>
      <c r="C18" s="10">
        <v>-0.0878</v>
      </c>
      <c r="D18" s="10"/>
      <c r="E18" s="74">
        <v>21</v>
      </c>
      <c r="F18" s="10">
        <f>IF(E18^C18&gt;=0.8682,0.8682,E18^C18)</f>
        <v>0.7654364614310043</v>
      </c>
      <c r="G18" s="10"/>
      <c r="H18" s="10"/>
      <c r="K18" s="50"/>
      <c r="L18" s="36" t="s">
        <v>23</v>
      </c>
      <c r="M18" s="36"/>
      <c r="N18" s="36"/>
      <c r="O18" s="36"/>
      <c r="P18" s="36"/>
    </row>
    <row r="19" spans="1:16" ht="12.75">
      <c r="A19" s="7" t="s">
        <v>29</v>
      </c>
      <c r="B19" s="2" t="s">
        <v>69</v>
      </c>
      <c r="C19" s="10">
        <v>0.1118</v>
      </c>
      <c r="D19" s="10"/>
      <c r="E19" s="39">
        <v>1</v>
      </c>
      <c r="F19" s="10">
        <f>(E19)^C19</f>
        <v>1</v>
      </c>
      <c r="G19" s="10"/>
      <c r="K19" s="50"/>
      <c r="L19" s="36" t="s">
        <v>24</v>
      </c>
      <c r="M19" s="36"/>
      <c r="N19" s="36"/>
      <c r="O19" s="36"/>
      <c r="P19" s="36"/>
    </row>
    <row r="20" spans="1:16" ht="12.75">
      <c r="A20" s="7" t="s">
        <v>115</v>
      </c>
      <c r="B20" s="2" t="s">
        <v>55</v>
      </c>
      <c r="C20" s="10">
        <v>-0.0102</v>
      </c>
      <c r="D20" s="10"/>
      <c r="E20" s="25">
        <v>50</v>
      </c>
      <c r="F20" s="10">
        <f>(E20/20)^C20</f>
        <v>0.990697374190812</v>
      </c>
      <c r="G20" s="10"/>
      <c r="K20" s="50"/>
      <c r="L20" s="36" t="s">
        <v>25</v>
      </c>
      <c r="M20" s="36"/>
      <c r="N20" s="36"/>
      <c r="O20" s="36"/>
      <c r="P20" s="36"/>
    </row>
    <row r="21" spans="2:16" ht="12.75">
      <c r="B21" s="2" t="s">
        <v>56</v>
      </c>
      <c r="C21" s="10">
        <v>0.1799</v>
      </c>
      <c r="D21" s="10"/>
      <c r="E21" s="27">
        <v>0</v>
      </c>
      <c r="F21" s="10">
        <f>(1+E21)^C21</f>
        <v>1</v>
      </c>
      <c r="G21" s="10"/>
      <c r="H21" s="10"/>
      <c r="K21" s="50"/>
      <c r="L21" s="36" t="s">
        <v>26</v>
      </c>
      <c r="M21" s="36"/>
      <c r="N21" s="36"/>
      <c r="O21" s="36"/>
      <c r="P21" s="36"/>
    </row>
    <row r="22" spans="1:16" ht="12.75">
      <c r="A22" s="7" t="s">
        <v>169</v>
      </c>
      <c r="B22" s="2" t="s">
        <v>168</v>
      </c>
      <c r="C22" s="10">
        <v>0.05</v>
      </c>
      <c r="D22" s="2" t="s">
        <v>171</v>
      </c>
      <c r="E22" s="27">
        <v>1</v>
      </c>
      <c r="F22" s="10">
        <f>(1+E22)^C22</f>
        <v>1.0352649238413776</v>
      </c>
      <c r="G22" s="10"/>
      <c r="H22" s="10"/>
      <c r="K22" s="50"/>
      <c r="L22" s="36" t="s">
        <v>27</v>
      </c>
      <c r="M22" s="36"/>
      <c r="N22" s="36"/>
      <c r="O22" s="36"/>
      <c r="P22" s="36"/>
    </row>
    <row r="23" spans="1:17" ht="12.75">
      <c r="A23" s="44" t="s">
        <v>64</v>
      </c>
      <c r="B23" s="2" t="s">
        <v>70</v>
      </c>
      <c r="C23" s="10">
        <v>0.0491</v>
      </c>
      <c r="D23" s="10">
        <f>EXP(C23)</f>
        <v>1.050325378026379</v>
      </c>
      <c r="E23" s="42">
        <v>0</v>
      </c>
      <c r="F23" s="10">
        <f>D23^E23</f>
        <v>1</v>
      </c>
      <c r="G23" s="10"/>
      <c r="H23" s="10"/>
      <c r="K23" s="7" t="s">
        <v>28</v>
      </c>
      <c r="L23" s="75" t="s">
        <v>117</v>
      </c>
      <c r="M23" s="75"/>
      <c r="N23" s="75"/>
      <c r="O23" s="75"/>
      <c r="P23" s="75"/>
      <c r="Q23" s="75"/>
    </row>
    <row r="24" spans="1:17" ht="12.75">
      <c r="A24" s="44" t="s">
        <v>64</v>
      </c>
      <c r="B24" s="2" t="s">
        <v>71</v>
      </c>
      <c r="C24" s="10">
        <v>0</v>
      </c>
      <c r="D24" s="10"/>
      <c r="E24" s="42">
        <v>1</v>
      </c>
      <c r="F24" s="10">
        <v>1</v>
      </c>
      <c r="G24" s="10"/>
      <c r="H24" s="10"/>
      <c r="K24" s="52" t="s">
        <v>29</v>
      </c>
      <c r="L24" s="40" t="s">
        <v>112</v>
      </c>
      <c r="M24" s="41"/>
      <c r="N24" s="41"/>
      <c r="O24" s="41"/>
      <c r="P24" s="41"/>
      <c r="Q24" s="41"/>
    </row>
    <row r="25" spans="1:17" ht="12.75">
      <c r="A25" s="44" t="s">
        <v>64</v>
      </c>
      <c r="B25" s="2" t="s">
        <v>72</v>
      </c>
      <c r="C25" s="10">
        <v>0.0385</v>
      </c>
      <c r="D25" s="10">
        <f>EXP(C25)</f>
        <v>1.039250728357984</v>
      </c>
      <c r="E25" s="42">
        <v>0</v>
      </c>
      <c r="F25" s="10">
        <f>D25^E25</f>
        <v>1</v>
      </c>
      <c r="G25" s="10"/>
      <c r="H25" s="10"/>
      <c r="K25" s="52" t="s">
        <v>115</v>
      </c>
      <c r="L25" s="37" t="s">
        <v>113</v>
      </c>
      <c r="M25" s="38"/>
      <c r="N25" s="38"/>
      <c r="O25" s="38"/>
      <c r="P25" s="38"/>
      <c r="Q25" s="38"/>
    </row>
    <row r="26" spans="1:16" ht="12.75">
      <c r="A26" s="44" t="s">
        <v>64</v>
      </c>
      <c r="B26" s="2" t="s">
        <v>73</v>
      </c>
      <c r="C26" s="10">
        <v>0.0331</v>
      </c>
      <c r="D26" s="10">
        <f>EXP(C26)</f>
        <v>1.0336538994631546</v>
      </c>
      <c r="E26" s="42">
        <v>0</v>
      </c>
      <c r="F26" s="10">
        <f>D26^E26</f>
        <v>1</v>
      </c>
      <c r="G26" s="10"/>
      <c r="H26" s="10"/>
      <c r="K26" s="7" t="s">
        <v>169</v>
      </c>
      <c r="L26" s="94" t="s">
        <v>170</v>
      </c>
      <c r="M26" s="27"/>
      <c r="N26" s="27"/>
      <c r="O26" s="27"/>
      <c r="P26" s="27"/>
    </row>
    <row r="27" spans="1:16" ht="12.75">
      <c r="A27" s="44" t="s">
        <v>64</v>
      </c>
      <c r="B27" s="2" t="s">
        <v>74</v>
      </c>
      <c r="C27" s="10">
        <v>0.0001</v>
      </c>
      <c r="D27" s="10">
        <f>EXP(C27)</f>
        <v>1.0001000050001667</v>
      </c>
      <c r="E27" s="42">
        <v>0</v>
      </c>
      <c r="F27" s="10">
        <f>D27^E27</f>
        <v>1</v>
      </c>
      <c r="G27" s="10"/>
      <c r="H27" s="10"/>
      <c r="K27" s="53" t="s">
        <v>64</v>
      </c>
      <c r="L27" s="45" t="s">
        <v>63</v>
      </c>
      <c r="M27" s="45"/>
      <c r="N27" s="45"/>
      <c r="O27" s="45"/>
      <c r="P27" s="45"/>
    </row>
    <row r="28" spans="1:11" ht="12.75">
      <c r="A28" s="44" t="s">
        <v>64</v>
      </c>
      <c r="B28" s="2" t="s">
        <v>75</v>
      </c>
      <c r="C28" s="10">
        <v>0.0784</v>
      </c>
      <c r="D28" s="10">
        <f>EXP(C28)</f>
        <v>1.0815551942348969</v>
      </c>
      <c r="E28" s="42">
        <v>0</v>
      </c>
      <c r="F28" s="10">
        <f>D28^E28</f>
        <v>1</v>
      </c>
      <c r="G28" s="10"/>
      <c r="H28" s="10"/>
      <c r="K28" s="50"/>
    </row>
    <row r="29" spans="1:11" ht="12.75">
      <c r="A29" s="44" t="s">
        <v>64</v>
      </c>
      <c r="B29" s="2" t="s">
        <v>76</v>
      </c>
      <c r="C29" s="10">
        <v>-0.0904</v>
      </c>
      <c r="D29" s="10">
        <f>EXP(C29)</f>
        <v>0.9135656859018669</v>
      </c>
      <c r="E29" s="42">
        <v>0</v>
      </c>
      <c r="F29" s="10">
        <f>D29^E29</f>
        <v>1</v>
      </c>
      <c r="G29" s="10"/>
      <c r="K29" s="50"/>
    </row>
    <row r="30" ht="12.75">
      <c r="K30" s="50"/>
    </row>
    <row r="31" spans="1:11" ht="18">
      <c r="A31" s="3" t="s">
        <v>45</v>
      </c>
      <c r="K31" s="50"/>
    </row>
    <row r="32" spans="1:11" ht="12.75">
      <c r="A32" s="4" t="s">
        <v>40</v>
      </c>
      <c r="K32" s="50"/>
    </row>
    <row r="33" spans="2:11" ht="12.75">
      <c r="B33" s="8" t="s">
        <v>1</v>
      </c>
      <c r="C33" s="9" t="s">
        <v>0</v>
      </c>
      <c r="D33" s="9"/>
      <c r="E33" s="9" t="s">
        <v>43</v>
      </c>
      <c r="F33" s="9"/>
      <c r="K33" s="50"/>
    </row>
    <row r="34" spans="2:11" ht="12.75">
      <c r="B34" s="2" t="s">
        <v>35</v>
      </c>
      <c r="C34" s="2">
        <v>0.3455</v>
      </c>
      <c r="H34" s="11" t="s">
        <v>44</v>
      </c>
      <c r="I34" s="15">
        <f>C34+(C35*E35)</f>
        <v>0.3455</v>
      </c>
      <c r="K34" s="50"/>
    </row>
    <row r="35" spans="1:17" ht="12.75">
      <c r="A35" s="7" t="s">
        <v>51</v>
      </c>
      <c r="B35" s="2" t="s">
        <v>36</v>
      </c>
      <c r="C35" s="10">
        <v>-0.029</v>
      </c>
      <c r="E35" s="46">
        <v>0</v>
      </c>
      <c r="F35" s="10">
        <f>C35*E35</f>
        <v>0</v>
      </c>
      <c r="K35" s="52" t="s">
        <v>51</v>
      </c>
      <c r="L35" s="47" t="s">
        <v>42</v>
      </c>
      <c r="M35" s="47"/>
      <c r="N35" s="47"/>
      <c r="O35" s="47"/>
      <c r="P35" s="47"/>
      <c r="Q35" s="47"/>
    </row>
    <row r="36" spans="8:11" ht="12.75">
      <c r="H36" s="11" t="s">
        <v>46</v>
      </c>
      <c r="I36" s="12">
        <f>I16*(1-I34)</f>
        <v>287380.7380957154</v>
      </c>
      <c r="K36" s="50"/>
    </row>
    <row r="37" spans="1:11" ht="18">
      <c r="A37" s="3" t="s">
        <v>37</v>
      </c>
      <c r="K37" s="50"/>
    </row>
    <row r="38" spans="1:11" ht="12.75">
      <c r="A38" s="4" t="s">
        <v>40</v>
      </c>
      <c r="K38" s="50"/>
    </row>
    <row r="39" spans="2:11" ht="12.75">
      <c r="B39" s="8" t="s">
        <v>1</v>
      </c>
      <c r="C39" s="9" t="s">
        <v>0</v>
      </c>
      <c r="D39" s="9"/>
      <c r="E39" s="9" t="s">
        <v>43</v>
      </c>
      <c r="F39" s="9" t="s">
        <v>41</v>
      </c>
      <c r="K39" s="50"/>
    </row>
    <row r="40" spans="2:11" ht="12.75">
      <c r="B40" s="2" t="s">
        <v>35</v>
      </c>
      <c r="C40" s="10">
        <v>0.0441</v>
      </c>
      <c r="H40" s="11" t="s">
        <v>48</v>
      </c>
      <c r="I40" s="16">
        <f>C40+F41+F42+F43+F44+F45+F46+F47+F48+F49</f>
        <v>0.07</v>
      </c>
      <c r="J40" s="2" t="s">
        <v>83</v>
      </c>
      <c r="K40" s="50"/>
    </row>
    <row r="41" spans="1:17" ht="12.75">
      <c r="A41" s="7" t="s">
        <v>52</v>
      </c>
      <c r="B41" s="2" t="s">
        <v>47</v>
      </c>
      <c r="C41" s="10">
        <v>-0.0066</v>
      </c>
      <c r="E41" s="48">
        <v>0</v>
      </c>
      <c r="F41" s="10">
        <f>C41*E41</f>
        <v>0</v>
      </c>
      <c r="K41" s="52" t="s">
        <v>52</v>
      </c>
      <c r="L41" s="49" t="s">
        <v>162</v>
      </c>
      <c r="M41" s="49"/>
      <c r="N41" s="49"/>
      <c r="O41" s="49"/>
      <c r="P41" s="49"/>
      <c r="Q41" s="49"/>
    </row>
    <row r="42" spans="1:15" ht="12.75">
      <c r="A42" s="7" t="s">
        <v>116</v>
      </c>
      <c r="B42" s="2" t="s">
        <v>58</v>
      </c>
      <c r="C42" s="10">
        <v>0.0069</v>
      </c>
      <c r="E42" s="77">
        <v>50</v>
      </c>
      <c r="F42" s="10">
        <f>IF(C42*E42^0.5&lt;=0.0259,C42*E42^0.5,0.0259)</f>
        <v>0.0259</v>
      </c>
      <c r="K42" s="52" t="s">
        <v>116</v>
      </c>
      <c r="L42" s="76" t="s">
        <v>173</v>
      </c>
      <c r="M42" s="76"/>
      <c r="N42" s="76"/>
      <c r="O42" s="76"/>
    </row>
    <row r="43" spans="2:16" ht="12.75">
      <c r="B43" s="2" t="s">
        <v>70</v>
      </c>
      <c r="C43" s="10">
        <v>-0.0055</v>
      </c>
      <c r="E43" s="42">
        <v>0</v>
      </c>
      <c r="F43" s="10">
        <f aca="true" t="shared" si="1" ref="F43:F49">C43*E43</f>
        <v>0</v>
      </c>
      <c r="K43" s="53" t="s">
        <v>64</v>
      </c>
      <c r="L43" s="45" t="s">
        <v>65</v>
      </c>
      <c r="M43" s="45"/>
      <c r="N43" s="45"/>
      <c r="O43" s="45"/>
      <c r="P43" s="45"/>
    </row>
    <row r="44" spans="1:11" ht="12.75">
      <c r="A44" s="7"/>
      <c r="B44" s="2" t="s">
        <v>71</v>
      </c>
      <c r="C44" s="10">
        <v>0</v>
      </c>
      <c r="E44" s="42">
        <v>1</v>
      </c>
      <c r="F44" s="10">
        <f t="shared" si="1"/>
        <v>0</v>
      </c>
      <c r="K44" s="52"/>
    </row>
    <row r="45" spans="1:11" ht="12.75">
      <c r="A45" s="44" t="s">
        <v>64</v>
      </c>
      <c r="B45" s="2" t="s">
        <v>72</v>
      </c>
      <c r="C45" s="10">
        <v>0.0084</v>
      </c>
      <c r="D45" s="2" t="s">
        <v>57</v>
      </c>
      <c r="E45" s="42">
        <v>0</v>
      </c>
      <c r="F45" s="10">
        <f t="shared" si="1"/>
        <v>0</v>
      </c>
      <c r="K45" s="50"/>
    </row>
    <row r="46" spans="1:6" ht="12.75">
      <c r="A46" s="44" t="s">
        <v>64</v>
      </c>
      <c r="B46" s="2" t="s">
        <v>73</v>
      </c>
      <c r="C46" s="10">
        <v>0.0034</v>
      </c>
      <c r="E46" s="42">
        <v>0</v>
      </c>
      <c r="F46" s="10">
        <f t="shared" si="1"/>
        <v>0</v>
      </c>
    </row>
    <row r="47" spans="1:6" ht="12.75">
      <c r="A47" s="44" t="s">
        <v>64</v>
      </c>
      <c r="B47" s="2" t="s">
        <v>74</v>
      </c>
      <c r="C47" s="10">
        <v>0.0084</v>
      </c>
      <c r="E47" s="42">
        <v>0</v>
      </c>
      <c r="F47" s="10">
        <f t="shared" si="1"/>
        <v>0</v>
      </c>
    </row>
    <row r="48" spans="1:6" ht="12.75">
      <c r="A48" s="44" t="s">
        <v>64</v>
      </c>
      <c r="B48" s="2" t="s">
        <v>75</v>
      </c>
      <c r="C48" s="10">
        <v>0.0125</v>
      </c>
      <c r="D48" s="2" t="s">
        <v>61</v>
      </c>
      <c r="E48" s="42">
        <v>0</v>
      </c>
      <c r="F48" s="10">
        <f t="shared" si="1"/>
        <v>0</v>
      </c>
    </row>
    <row r="49" spans="1:6" ht="12.75">
      <c r="A49" s="44" t="s">
        <v>64</v>
      </c>
      <c r="B49" s="2" t="s">
        <v>76</v>
      </c>
      <c r="C49" s="10">
        <v>0.0271</v>
      </c>
      <c r="E49" s="42">
        <v>0</v>
      </c>
      <c r="F49" s="10">
        <f t="shared" si="1"/>
        <v>0</v>
      </c>
    </row>
    <row r="51" spans="5:9" ht="15">
      <c r="E51" s="17"/>
      <c r="G51" s="31" t="s">
        <v>49</v>
      </c>
      <c r="H51" s="32"/>
      <c r="I51" s="30">
        <f>I36/I40</f>
        <v>4105439.1156530767</v>
      </c>
    </row>
  </sheetData>
  <sheetProtection password="DA95" sheet="1" objects="1" scenarios="1" selectLockedCells="1"/>
  <printOptions/>
  <pageMargins left="0.7" right="0.26" top="0.53" bottom="0.7" header="0.33" footer="0.5"/>
  <pageSetup horizontalDpi="600" verticalDpi="600" orientation="portrait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16.140625" style="0" customWidth="1"/>
    <col min="3" max="3" width="14.140625" style="0" customWidth="1"/>
    <col min="4" max="4" width="1.421875" style="0" customWidth="1"/>
  </cols>
  <sheetData>
    <row r="1" ht="20.25">
      <c r="A1" s="24" t="s">
        <v>59</v>
      </c>
    </row>
    <row r="2" ht="13.5" customHeight="1">
      <c r="A2" s="24"/>
    </row>
    <row r="3" spans="2:3" ht="12.75">
      <c r="B3" s="18" t="s">
        <v>60</v>
      </c>
      <c r="C3" s="29" t="s">
        <v>172</v>
      </c>
    </row>
    <row r="5" spans="2:5" ht="12.75">
      <c r="B5" s="18" t="s">
        <v>32</v>
      </c>
      <c r="C5" s="12">
        <f>IncomeModel!I8</f>
        <v>746.7421724422637</v>
      </c>
      <c r="E5" t="s">
        <v>84</v>
      </c>
    </row>
    <row r="6" spans="2:3" ht="12.75">
      <c r="B6" s="19"/>
      <c r="C6" s="2"/>
    </row>
    <row r="7" spans="2:3" ht="12.75">
      <c r="B7" s="20" t="s">
        <v>30</v>
      </c>
      <c r="C7" s="15">
        <f>IncomeModel!I10</f>
        <v>50</v>
      </c>
    </row>
    <row r="8" spans="2:3" ht="12.75">
      <c r="B8" s="19"/>
      <c r="C8" s="2"/>
    </row>
    <row r="9" spans="2:3" ht="12.75">
      <c r="B9" s="20" t="s">
        <v>31</v>
      </c>
      <c r="C9" s="12">
        <f>C5*C7*12</f>
        <v>448045.3034653582</v>
      </c>
    </row>
    <row r="10" spans="2:3" ht="12.75">
      <c r="B10" s="19"/>
      <c r="C10" s="2"/>
    </row>
    <row r="11" spans="2:3" ht="12.75">
      <c r="B11" s="20" t="s">
        <v>33</v>
      </c>
      <c r="C11" s="23">
        <f>IncomeModel!I14</f>
        <v>0.02</v>
      </c>
    </row>
    <row r="12" spans="2:3" ht="12.75">
      <c r="B12" s="19"/>
      <c r="C12" s="2"/>
    </row>
    <row r="13" spans="2:3" ht="12.75">
      <c r="B13" s="20" t="s">
        <v>34</v>
      </c>
      <c r="C13" s="12">
        <f>C9*(1-C11)</f>
        <v>439084.39739605103</v>
      </c>
    </row>
    <row r="14" spans="2:3" ht="12.75">
      <c r="B14" s="19"/>
      <c r="C14" s="2"/>
    </row>
    <row r="15" spans="2:3" ht="12.75">
      <c r="B15" s="18" t="s">
        <v>44</v>
      </c>
      <c r="C15" s="15">
        <f>IncomeModel!I34</f>
        <v>0.3455</v>
      </c>
    </row>
    <row r="16" spans="2:3" ht="12.75">
      <c r="B16" s="21"/>
      <c r="C16" s="2"/>
    </row>
    <row r="17" spans="2:3" ht="12.75">
      <c r="B17" s="18" t="s">
        <v>46</v>
      </c>
      <c r="C17" s="12">
        <f>C13*(1-C15)</f>
        <v>287380.7380957154</v>
      </c>
    </row>
    <row r="18" spans="2:3" ht="12.75">
      <c r="B18" s="21"/>
      <c r="C18" s="2"/>
    </row>
    <row r="19" spans="2:5" ht="12.75">
      <c r="B19" s="18" t="s">
        <v>48</v>
      </c>
      <c r="C19" s="23">
        <f>IncomeModel!I40</f>
        <v>0.07</v>
      </c>
      <c r="E19" t="s">
        <v>85</v>
      </c>
    </row>
    <row r="20" spans="2:3" ht="12.75">
      <c r="B20" s="21"/>
      <c r="C20" s="2"/>
    </row>
    <row r="21" spans="2:6" ht="15.75">
      <c r="B21" s="18" t="s">
        <v>49</v>
      </c>
      <c r="C21" s="22">
        <f>C17/C19</f>
        <v>4105439.1156530767</v>
      </c>
      <c r="D21" s="2"/>
      <c r="F21" s="17"/>
    </row>
    <row r="22" spans="2:3" ht="12.75">
      <c r="B22" s="10"/>
      <c r="C22" s="2"/>
    </row>
    <row r="23" spans="2:3" ht="12.75">
      <c r="B23" s="10"/>
      <c r="C23" s="2"/>
    </row>
    <row r="24" spans="2:3" ht="12.75">
      <c r="B24" s="10"/>
      <c r="C24" s="2"/>
    </row>
    <row r="25" spans="2:3" ht="12.75">
      <c r="B25" s="10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2" spans="2:3" ht="12.75">
      <c r="B32" s="2"/>
      <c r="C32" s="2"/>
    </row>
  </sheetData>
  <sheetProtection password="DA95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3" max="3" width="8.28125" style="0" customWidth="1"/>
    <col min="4" max="4" width="9.7109375" style="0" customWidth="1"/>
    <col min="6" max="6" width="10.7109375" style="0" customWidth="1"/>
    <col min="7" max="7" width="10.00390625" style="0" customWidth="1"/>
    <col min="8" max="8" width="13.140625" style="0" customWidth="1"/>
    <col min="9" max="10" width="11.7109375" style="0" customWidth="1"/>
    <col min="11" max="11" width="9.28125" style="0" customWidth="1"/>
    <col min="12" max="12" width="10.28125" style="0" customWidth="1"/>
  </cols>
  <sheetData>
    <row r="1" spans="1:9" ht="20.25">
      <c r="A1" s="72" t="s">
        <v>114</v>
      </c>
      <c r="B1" s="72"/>
      <c r="C1" s="72"/>
      <c r="D1" s="72"/>
      <c r="E1" s="72"/>
      <c r="F1" s="72"/>
      <c r="G1" s="72"/>
      <c r="H1" s="72"/>
      <c r="I1" s="72"/>
    </row>
    <row r="3" spans="2:12" ht="25.5">
      <c r="B3" s="57" t="s">
        <v>35</v>
      </c>
      <c r="C3" s="57" t="s">
        <v>68</v>
      </c>
      <c r="D3" s="57" t="s">
        <v>54</v>
      </c>
      <c r="K3" s="54"/>
      <c r="L3" s="54"/>
    </row>
    <row r="4" spans="1:12" ht="12.75">
      <c r="A4" s="58" t="s">
        <v>98</v>
      </c>
      <c r="B4" s="2">
        <v>6.8169</v>
      </c>
      <c r="C4" s="2">
        <v>0.8173</v>
      </c>
      <c r="D4" s="2">
        <v>-0.0878</v>
      </c>
      <c r="K4" s="2"/>
      <c r="L4" s="2"/>
    </row>
    <row r="5" spans="1:4" ht="12.75">
      <c r="A5" s="58" t="s">
        <v>95</v>
      </c>
      <c r="B5" s="67">
        <f>EXP(B4)</f>
        <v>913.1498533133761</v>
      </c>
      <c r="D5" s="62"/>
    </row>
    <row r="6" spans="1:4" ht="12.75">
      <c r="A6" s="58"/>
      <c r="B6" s="67"/>
      <c r="D6" s="62"/>
    </row>
    <row r="7" spans="1:4" ht="12.75">
      <c r="A7" s="71" t="s">
        <v>118</v>
      </c>
      <c r="B7" s="67"/>
      <c r="D7" s="62"/>
    </row>
    <row r="9" spans="2:8" ht="26.25" customHeight="1">
      <c r="B9" s="57" t="s">
        <v>70</v>
      </c>
      <c r="C9" s="57" t="s">
        <v>71</v>
      </c>
      <c r="D9" s="57" t="s">
        <v>72</v>
      </c>
      <c r="E9" s="57" t="s">
        <v>73</v>
      </c>
      <c r="F9" s="57" t="s">
        <v>74</v>
      </c>
      <c r="G9" s="57" t="s">
        <v>75</v>
      </c>
      <c r="H9" s="57" t="s">
        <v>87</v>
      </c>
    </row>
    <row r="10" spans="1:8" ht="12.75">
      <c r="A10" s="58" t="s">
        <v>121</v>
      </c>
      <c r="B10" s="68">
        <v>0.0491</v>
      </c>
      <c r="C10" s="69">
        <v>0</v>
      </c>
      <c r="D10" s="68">
        <v>0.0385</v>
      </c>
      <c r="E10" s="68">
        <v>0.0331</v>
      </c>
      <c r="F10" s="68">
        <v>0.0001</v>
      </c>
      <c r="G10" s="68">
        <v>0.0784</v>
      </c>
      <c r="H10" s="68">
        <v>-0.0904</v>
      </c>
    </row>
    <row r="11" spans="1:8" ht="12.75" customHeight="1">
      <c r="A11" s="59" t="s">
        <v>106</v>
      </c>
      <c r="B11" s="70">
        <f aca="true" t="shared" si="0" ref="B11:H11">EXP(B10)</f>
        <v>1.050325378026379</v>
      </c>
      <c r="C11" s="70">
        <f t="shared" si="0"/>
        <v>1</v>
      </c>
      <c r="D11" s="70">
        <f t="shared" si="0"/>
        <v>1.039250728357984</v>
      </c>
      <c r="E11" s="70">
        <f t="shared" si="0"/>
        <v>1.0336538994631546</v>
      </c>
      <c r="F11" s="70">
        <f t="shared" si="0"/>
        <v>1.0001000050001667</v>
      </c>
      <c r="G11" s="70">
        <f t="shared" si="0"/>
        <v>1.0815551942348969</v>
      </c>
      <c r="H11" s="70">
        <f t="shared" si="0"/>
        <v>0.9135656859018669</v>
      </c>
    </row>
    <row r="12" spans="2:9" ht="12.75">
      <c r="B12" s="56"/>
      <c r="C12" s="56"/>
      <c r="E12" s="56"/>
      <c r="F12" s="56"/>
      <c r="G12" s="56"/>
      <c r="H12" s="56"/>
      <c r="I12" s="56"/>
    </row>
    <row r="13" spans="1:9" ht="12.75">
      <c r="A13" s="58" t="s">
        <v>99</v>
      </c>
      <c r="B13" s="56"/>
      <c r="C13" s="56"/>
      <c r="E13" s="56"/>
      <c r="F13" s="56"/>
      <c r="G13" s="56"/>
      <c r="H13" s="56"/>
      <c r="I13" s="56"/>
    </row>
    <row r="14" spans="4:9" ht="12.75">
      <c r="D14" s="65" t="s">
        <v>94</v>
      </c>
      <c r="E14" s="66"/>
      <c r="F14" s="66"/>
      <c r="G14" s="66"/>
      <c r="H14" s="66"/>
      <c r="I14" s="66"/>
    </row>
    <row r="15" spans="3:9" ht="12.75">
      <c r="C15" s="55" t="s">
        <v>96</v>
      </c>
      <c r="D15" s="55" t="s">
        <v>88</v>
      </c>
      <c r="E15" s="55" t="s">
        <v>89</v>
      </c>
      <c r="F15" s="55" t="s">
        <v>90</v>
      </c>
      <c r="G15" s="55" t="s">
        <v>91</v>
      </c>
      <c r="H15" s="55" t="s">
        <v>92</v>
      </c>
      <c r="I15" s="55" t="s">
        <v>93</v>
      </c>
    </row>
    <row r="16" spans="2:9" ht="12.75">
      <c r="B16" s="55" t="s">
        <v>0</v>
      </c>
      <c r="C16" s="64" t="s">
        <v>97</v>
      </c>
      <c r="D16" s="60">
        <v>0.9</v>
      </c>
      <c r="E16" s="60">
        <v>0.95</v>
      </c>
      <c r="F16" s="60">
        <v>1</v>
      </c>
      <c r="G16" s="60">
        <v>1.1</v>
      </c>
      <c r="H16" s="60">
        <v>1.15</v>
      </c>
      <c r="I16" s="60">
        <v>1.2</v>
      </c>
    </row>
    <row r="17" spans="1:9" ht="12.75">
      <c r="A17" s="61" t="s">
        <v>86</v>
      </c>
      <c r="B17" s="2">
        <v>-0.4302</v>
      </c>
      <c r="C17" s="55">
        <v>0</v>
      </c>
      <c r="D17" s="63">
        <f aca="true" t="shared" si="1" ref="D17:I22">$B$5*(2^$B17)*(D$16^$C$4)*(25^$D$4)*$B$11</f>
        <v>492.2957412730939</v>
      </c>
      <c r="E17" s="63">
        <f t="shared" si="1"/>
        <v>514.537673441017</v>
      </c>
      <c r="F17" s="63">
        <f t="shared" si="1"/>
        <v>536.5666500092821</v>
      </c>
      <c r="G17" s="63">
        <f t="shared" si="1"/>
        <v>580.0346223430371</v>
      </c>
      <c r="H17" s="63">
        <f t="shared" si="1"/>
        <v>601.4949989020735</v>
      </c>
      <c r="I17" s="63">
        <f t="shared" si="1"/>
        <v>622.7855225018892</v>
      </c>
    </row>
    <row r="18" spans="1:9" ht="12.75" customHeight="1">
      <c r="A18" s="61" t="s">
        <v>78</v>
      </c>
      <c r="B18" s="2">
        <v>-0.1529</v>
      </c>
      <c r="C18" s="55" t="s">
        <v>111</v>
      </c>
      <c r="D18" s="63">
        <f t="shared" si="1"/>
        <v>596.6253424006529</v>
      </c>
      <c r="E18" s="63">
        <f t="shared" si="1"/>
        <v>623.5808881890895</v>
      </c>
      <c r="F18" s="63">
        <f t="shared" si="1"/>
        <v>650.2783478376106</v>
      </c>
      <c r="G18" s="63">
        <f t="shared" si="1"/>
        <v>702.9582548585857</v>
      </c>
      <c r="H18" s="63">
        <f t="shared" si="1"/>
        <v>728.9666141417088</v>
      </c>
      <c r="I18" s="63">
        <f t="shared" si="1"/>
        <v>754.7691244372078</v>
      </c>
    </row>
    <row r="19" spans="1:9" ht="12.75">
      <c r="A19" s="61" t="s">
        <v>79</v>
      </c>
      <c r="B19" s="10">
        <v>0</v>
      </c>
      <c r="C19" s="55">
        <v>2</v>
      </c>
      <c r="D19" s="63">
        <f t="shared" si="1"/>
        <v>663.3293029846492</v>
      </c>
      <c r="E19" s="63">
        <f t="shared" si="1"/>
        <v>693.2985351454366</v>
      </c>
      <c r="F19" s="63">
        <f t="shared" si="1"/>
        <v>722.9808265963115</v>
      </c>
      <c r="G19" s="63">
        <f t="shared" si="1"/>
        <v>781.5504573547273</v>
      </c>
      <c r="H19" s="63">
        <f t="shared" si="1"/>
        <v>810.4666055787211</v>
      </c>
      <c r="I19" s="63">
        <f t="shared" si="1"/>
        <v>839.153890467927</v>
      </c>
    </row>
    <row r="20" spans="1:9" ht="12.75">
      <c r="A20" s="61" t="s">
        <v>80</v>
      </c>
      <c r="B20" s="2">
        <v>0.1063</v>
      </c>
      <c r="C20" s="55">
        <v>5</v>
      </c>
      <c r="D20" s="63">
        <f t="shared" si="1"/>
        <v>714.0500789196744</v>
      </c>
      <c r="E20" s="63">
        <f t="shared" si="1"/>
        <v>746.310876826966</v>
      </c>
      <c r="F20" s="63">
        <f t="shared" si="1"/>
        <v>778.2627934054266</v>
      </c>
      <c r="G20" s="63">
        <f t="shared" si="1"/>
        <v>841.3108892413359</v>
      </c>
      <c r="H20" s="63">
        <f t="shared" si="1"/>
        <v>872.4380802586662</v>
      </c>
      <c r="I20" s="63">
        <f t="shared" si="1"/>
        <v>903.3189081475597</v>
      </c>
    </row>
    <row r="21" spans="1:9" ht="12.75">
      <c r="A21" s="61" t="s">
        <v>81</v>
      </c>
      <c r="B21" s="2">
        <v>0.1484</v>
      </c>
      <c r="C21" s="55">
        <v>3</v>
      </c>
      <c r="D21" s="63">
        <f t="shared" si="1"/>
        <v>735.1941358351653</v>
      </c>
      <c r="E21" s="63">
        <f t="shared" si="1"/>
        <v>768.4102226881887</v>
      </c>
      <c r="F21" s="63">
        <f t="shared" si="1"/>
        <v>801.3082817889162</v>
      </c>
      <c r="G21" s="63">
        <f t="shared" si="1"/>
        <v>866.2233230480158</v>
      </c>
      <c r="H21" s="63">
        <f t="shared" si="1"/>
        <v>898.2722352693906</v>
      </c>
      <c r="I21" s="63">
        <f t="shared" si="1"/>
        <v>930.0674891933152</v>
      </c>
    </row>
    <row r="22" spans="1:9" ht="12.75">
      <c r="A22" s="61" t="s">
        <v>82</v>
      </c>
      <c r="B22" s="2">
        <v>0.2171</v>
      </c>
      <c r="C22" s="55">
        <v>6</v>
      </c>
      <c r="D22" s="63">
        <f t="shared" si="1"/>
        <v>771.050450081547</v>
      </c>
      <c r="E22" s="63">
        <f t="shared" si="1"/>
        <v>805.8865259826116</v>
      </c>
      <c r="F22" s="63">
        <f t="shared" si="1"/>
        <v>840.3890635302077</v>
      </c>
      <c r="G22" s="63">
        <f t="shared" si="1"/>
        <v>908.4700904864851</v>
      </c>
      <c r="H22" s="63">
        <f t="shared" si="1"/>
        <v>942.0820672262661</v>
      </c>
      <c r="I22" s="63">
        <f t="shared" si="1"/>
        <v>975.4280144442071</v>
      </c>
    </row>
    <row r="23" spans="1:9" ht="12.75">
      <c r="A23" s="61"/>
      <c r="B23" s="2"/>
      <c r="C23" s="55"/>
      <c r="D23" s="63"/>
      <c r="E23" s="63"/>
      <c r="F23" s="63"/>
      <c r="G23" s="63"/>
      <c r="H23" s="63"/>
      <c r="I23" s="63"/>
    </row>
    <row r="24" spans="1:11" ht="12.75">
      <c r="A24" s="54" t="s">
        <v>107</v>
      </c>
      <c r="B24" s="10">
        <v>0.1799</v>
      </c>
      <c r="C24" s="55" t="s">
        <v>109</v>
      </c>
      <c r="D24" s="63">
        <f aca="true" t="shared" si="2" ref="D24:I25">$B$5*(2^$B24)*(D$16^$C$4)*(25^$D$4)*$B$11-D$19</f>
        <v>88.09368853319745</v>
      </c>
      <c r="E24" s="63">
        <f t="shared" si="2"/>
        <v>92.07376327386146</v>
      </c>
      <c r="F24" s="63">
        <f t="shared" si="2"/>
        <v>96.0157307495324</v>
      </c>
      <c r="G24" s="63">
        <f t="shared" si="2"/>
        <v>103.79409179331651</v>
      </c>
      <c r="H24" s="63">
        <f t="shared" si="2"/>
        <v>107.63431134002224</v>
      </c>
      <c r="I24" s="63">
        <f t="shared" si="2"/>
        <v>111.44413660859061</v>
      </c>
      <c r="K24" s="2"/>
    </row>
    <row r="25" spans="1:11" ht="12.75">
      <c r="A25" s="54" t="s">
        <v>108</v>
      </c>
      <c r="B25" s="10">
        <v>0.05</v>
      </c>
      <c r="C25" s="55" t="s">
        <v>110</v>
      </c>
      <c r="D25" s="63">
        <f>$B$5*(2^$B25)*(D$16^$C$4)*(25^$D$4)*$B$11-D$19</f>
        <v>23.392257351507737</v>
      </c>
      <c r="E25" s="63">
        <f t="shared" si="2"/>
        <v>24.44912004124251</v>
      </c>
      <c r="F25" s="63">
        <f>$B$5*(2^$B25)*(F$16^$C$4)*(25^$D$4)*$B$11-F$19</f>
        <v>25.495863788695033</v>
      </c>
      <c r="G25" s="63">
        <f t="shared" si="2"/>
        <v>27.56131735680833</v>
      </c>
      <c r="H25" s="63">
        <f t="shared" si="2"/>
        <v>28.58104312171338</v>
      </c>
      <c r="I25" s="63">
        <f t="shared" si="2"/>
        <v>29.59269803854704</v>
      </c>
      <c r="J25" s="73"/>
      <c r="K25" s="2"/>
    </row>
    <row r="27" ht="12.75">
      <c r="A27" s="58" t="s">
        <v>100</v>
      </c>
    </row>
    <row r="28" spans="4:9" ht="12.75">
      <c r="D28" s="65" t="s">
        <v>94</v>
      </c>
      <c r="E28" s="66"/>
      <c r="F28" s="66"/>
      <c r="G28" s="66"/>
      <c r="H28" s="66"/>
      <c r="I28" s="66"/>
    </row>
    <row r="29" spans="3:9" ht="12.75">
      <c r="C29" s="55" t="s">
        <v>96</v>
      </c>
      <c r="D29" s="55" t="s">
        <v>88</v>
      </c>
      <c r="E29" s="55" t="s">
        <v>89</v>
      </c>
      <c r="F29" s="55" t="s">
        <v>90</v>
      </c>
      <c r="G29" s="55" t="s">
        <v>91</v>
      </c>
      <c r="H29" s="55" t="s">
        <v>92</v>
      </c>
      <c r="I29" s="55" t="s">
        <v>93</v>
      </c>
    </row>
    <row r="30" spans="3:9" ht="12.75">
      <c r="C30" s="64" t="s">
        <v>97</v>
      </c>
      <c r="D30" s="60">
        <v>0.9</v>
      </c>
      <c r="E30" s="60">
        <v>0.95</v>
      </c>
      <c r="F30" s="60">
        <v>1</v>
      </c>
      <c r="G30" s="60">
        <v>1.1</v>
      </c>
      <c r="H30" s="60">
        <v>1.15</v>
      </c>
      <c r="I30" s="60">
        <v>1.2</v>
      </c>
    </row>
    <row r="31" spans="1:9" ht="12.75">
      <c r="A31" s="61" t="s">
        <v>86</v>
      </c>
      <c r="B31" s="2">
        <v>-0.4302</v>
      </c>
      <c r="C31" s="55">
        <v>0</v>
      </c>
      <c r="D31" s="63">
        <f aca="true" t="shared" si="3" ref="D31:I36">$B$5*(2^$B31)*(D$16^$C$4)*(25^$D$4)*$C$11</f>
        <v>468.7078419433657</v>
      </c>
      <c r="E31" s="63">
        <f t="shared" si="3"/>
        <v>489.8840723127746</v>
      </c>
      <c r="F31" s="63">
        <f t="shared" si="3"/>
        <v>510.85755065494203</v>
      </c>
      <c r="G31" s="63">
        <f t="shared" si="3"/>
        <v>552.24279492604</v>
      </c>
      <c r="H31" s="63">
        <f t="shared" si="3"/>
        <v>572.6749172073864</v>
      </c>
      <c r="I31" s="63">
        <f t="shared" si="3"/>
        <v>592.9453248784091</v>
      </c>
    </row>
    <row r="32" spans="1:9" ht="12.75">
      <c r="A32" s="61" t="s">
        <v>78</v>
      </c>
      <c r="B32" s="2">
        <v>-0.1529</v>
      </c>
      <c r="C32" s="55" t="s">
        <v>111</v>
      </c>
      <c r="D32" s="63">
        <f t="shared" si="3"/>
        <v>568.0385858349398</v>
      </c>
      <c r="E32" s="63">
        <f t="shared" si="3"/>
        <v>593.7025813475376</v>
      </c>
      <c r="F32" s="63">
        <f t="shared" si="3"/>
        <v>619.1208566811176</v>
      </c>
      <c r="G32" s="63">
        <f t="shared" si="3"/>
        <v>669.2766542302197</v>
      </c>
      <c r="H32" s="63">
        <f t="shared" si="3"/>
        <v>694.0388468109553</v>
      </c>
      <c r="I32" s="63">
        <f t="shared" si="3"/>
        <v>718.6050534696798</v>
      </c>
    </row>
    <row r="33" spans="1:9" ht="12.75">
      <c r="A33" s="61" t="s">
        <v>79</v>
      </c>
      <c r="B33" s="10">
        <v>0</v>
      </c>
      <c r="C33" s="55">
        <v>2</v>
      </c>
      <c r="D33" s="63">
        <f t="shared" si="3"/>
        <v>631.5464872714801</v>
      </c>
      <c r="E33" s="63">
        <f t="shared" si="3"/>
        <v>660.0797711354779</v>
      </c>
      <c r="F33" s="63">
        <f t="shared" si="3"/>
        <v>688.3398627907416</v>
      </c>
      <c r="G33" s="63">
        <f t="shared" si="3"/>
        <v>744.1031833614312</v>
      </c>
      <c r="H33" s="63">
        <f t="shared" si="3"/>
        <v>771.6338408404773</v>
      </c>
      <c r="I33" s="63">
        <f t="shared" si="3"/>
        <v>798.9466007617037</v>
      </c>
    </row>
    <row r="34" spans="1:9" ht="12.75">
      <c r="A34" s="61" t="s">
        <v>80</v>
      </c>
      <c r="B34" s="2">
        <v>0.1063</v>
      </c>
      <c r="C34" s="55">
        <v>5</v>
      </c>
      <c r="D34" s="63">
        <f t="shared" si="3"/>
        <v>679.8370237053731</v>
      </c>
      <c r="E34" s="63">
        <f t="shared" si="3"/>
        <v>710.552075042999</v>
      </c>
      <c r="F34" s="63">
        <f t="shared" si="3"/>
        <v>740.9730448176226</v>
      </c>
      <c r="G34" s="63">
        <f t="shared" si="3"/>
        <v>801.0002489154425</v>
      </c>
      <c r="H34" s="63">
        <f t="shared" si="3"/>
        <v>830.6360090984632</v>
      </c>
      <c r="I34" s="63">
        <f t="shared" si="3"/>
        <v>860.0372104165922</v>
      </c>
    </row>
    <row r="35" spans="1:9" ht="12.75">
      <c r="A35" s="61" t="s">
        <v>81</v>
      </c>
      <c r="B35" s="2">
        <v>0.1484</v>
      </c>
      <c r="C35" s="55">
        <v>3</v>
      </c>
      <c r="D35" s="63">
        <f t="shared" si="3"/>
        <v>699.9679825090362</v>
      </c>
      <c r="E35" s="63">
        <f t="shared" si="3"/>
        <v>731.5925509979346</v>
      </c>
      <c r="F35" s="63">
        <f t="shared" si="3"/>
        <v>762.914329742865</v>
      </c>
      <c r="G35" s="63">
        <f t="shared" si="3"/>
        <v>824.7190262846915</v>
      </c>
      <c r="H35" s="63">
        <f t="shared" si="3"/>
        <v>855.2323442448807</v>
      </c>
      <c r="I35" s="63">
        <f t="shared" si="3"/>
        <v>885.5041577125031</v>
      </c>
    </row>
    <row r="36" spans="1:9" ht="12.75">
      <c r="A36" s="61" t="s">
        <v>82</v>
      </c>
      <c r="B36" s="2">
        <v>0.2171</v>
      </c>
      <c r="C36" s="55">
        <v>6</v>
      </c>
      <c r="D36" s="63">
        <f t="shared" si="3"/>
        <v>734.1062743151027</v>
      </c>
      <c r="E36" s="63">
        <f t="shared" si="3"/>
        <v>767.2732115612764</v>
      </c>
      <c r="F36" s="63">
        <f t="shared" si="3"/>
        <v>800.1225916385515</v>
      </c>
      <c r="G36" s="63">
        <f t="shared" si="3"/>
        <v>864.9415785740148</v>
      </c>
      <c r="H36" s="63">
        <f t="shared" si="3"/>
        <v>896.943068248519</v>
      </c>
      <c r="I36" s="63">
        <f t="shared" si="3"/>
        <v>928.6912749619471</v>
      </c>
    </row>
    <row r="37" spans="1:9" ht="12.75">
      <c r="A37" s="61"/>
      <c r="B37" s="2"/>
      <c r="C37" s="55"/>
      <c r="D37" s="63"/>
      <c r="E37" s="63"/>
      <c r="F37" s="63"/>
      <c r="G37" s="63"/>
      <c r="H37" s="63"/>
      <c r="I37" s="63"/>
    </row>
    <row r="38" spans="1:9" ht="12.75">
      <c r="A38" s="54" t="s">
        <v>107</v>
      </c>
      <c r="B38" s="2">
        <v>0.1799</v>
      </c>
      <c r="C38" s="55" t="s">
        <v>109</v>
      </c>
      <c r="D38" s="63">
        <f aca="true" t="shared" si="4" ref="D38:I39">$B$5*(2^$B38)*(D$16^$C$4)*(25^$D$4)*$C$11-D$33</f>
        <v>83.87276017145325</v>
      </c>
      <c r="E38" s="63">
        <f t="shared" si="4"/>
        <v>87.66213327804508</v>
      </c>
      <c r="F38" s="63">
        <f t="shared" si="4"/>
        <v>91.41522499432642</v>
      </c>
      <c r="G38" s="63">
        <f t="shared" si="4"/>
        <v>98.82089299636993</v>
      </c>
      <c r="H38" s="63">
        <f t="shared" si="4"/>
        <v>102.47711194246608</v>
      </c>
      <c r="I38" s="63">
        <f t="shared" si="4"/>
        <v>106.10439292441015</v>
      </c>
    </row>
    <row r="39" spans="1:10" ht="12.75">
      <c r="A39" s="54" t="s">
        <v>108</v>
      </c>
      <c r="B39" s="10">
        <v>0.05</v>
      </c>
      <c r="C39" s="55" t="s">
        <v>110</v>
      </c>
      <c r="D39" s="63">
        <f t="shared" si="4"/>
        <v>22.27143877591834</v>
      </c>
      <c r="E39" s="63">
        <f t="shared" si="4"/>
        <v>23.277662858326607</v>
      </c>
      <c r="F39" s="63">
        <f t="shared" si="4"/>
        <v>24.27425283829973</v>
      </c>
      <c r="G39" s="63">
        <f t="shared" si="4"/>
        <v>26.240742091367565</v>
      </c>
      <c r="H39" s="63">
        <f t="shared" si="4"/>
        <v>27.211608630669048</v>
      </c>
      <c r="I39" s="63">
        <f t="shared" si="4"/>
        <v>28.174791029188896</v>
      </c>
      <c r="J39" s="73"/>
    </row>
    <row r="41" ht="12.75">
      <c r="A41" s="58" t="s">
        <v>101</v>
      </c>
    </row>
    <row r="42" spans="4:9" ht="12.75">
      <c r="D42" s="65" t="s">
        <v>94</v>
      </c>
      <c r="E42" s="66"/>
      <c r="F42" s="66"/>
      <c r="G42" s="66"/>
      <c r="H42" s="66"/>
      <c r="I42" s="66"/>
    </row>
    <row r="43" spans="3:9" ht="12.75">
      <c r="C43" s="55" t="s">
        <v>96</v>
      </c>
      <c r="D43" s="55" t="s">
        <v>88</v>
      </c>
      <c r="E43" s="55" t="s">
        <v>89</v>
      </c>
      <c r="F43" s="55" t="s">
        <v>90</v>
      </c>
      <c r="G43" s="55" t="s">
        <v>91</v>
      </c>
      <c r="H43" s="55" t="s">
        <v>92</v>
      </c>
      <c r="I43" s="55" t="s">
        <v>93</v>
      </c>
    </row>
    <row r="44" spans="3:9" ht="12.75">
      <c r="C44" s="64" t="s">
        <v>97</v>
      </c>
      <c r="D44" s="60">
        <v>0.9</v>
      </c>
      <c r="E44" s="60">
        <v>0.95</v>
      </c>
      <c r="F44" s="60">
        <v>1</v>
      </c>
      <c r="G44" s="60">
        <v>1.1</v>
      </c>
      <c r="H44" s="60">
        <v>1.15</v>
      </c>
      <c r="I44" s="60">
        <v>1.2</v>
      </c>
    </row>
    <row r="45" spans="1:9" ht="12.75">
      <c r="A45" s="61" t="s">
        <v>86</v>
      </c>
      <c r="B45" s="2">
        <v>-0.4302</v>
      </c>
      <c r="C45" s="55">
        <v>0</v>
      </c>
      <c r="D45" s="63">
        <f aca="true" t="shared" si="5" ref="D45:I50">$B$5*(2^$B45)*(D$16^$C$4)*(25^$D$4)*$D$11</f>
        <v>487.1049661267416</v>
      </c>
      <c r="E45" s="63">
        <f t="shared" si="5"/>
        <v>509.1123789620263</v>
      </c>
      <c r="F45" s="63">
        <f t="shared" si="5"/>
        <v>530.9090816053242</v>
      </c>
      <c r="G45" s="63">
        <f t="shared" si="5"/>
        <v>573.9187268573359</v>
      </c>
      <c r="H45" s="63">
        <f t="shared" si="5"/>
        <v>595.1528248201245</v>
      </c>
      <c r="I45" s="63">
        <f t="shared" si="5"/>
        <v>616.218860756348</v>
      </c>
    </row>
    <row r="46" spans="1:9" ht="12.75">
      <c r="A46" s="61" t="s">
        <v>78</v>
      </c>
      <c r="B46" s="2">
        <v>-0.1529</v>
      </c>
      <c r="C46" s="55" t="s">
        <v>111</v>
      </c>
      <c r="D46" s="63">
        <f t="shared" si="5"/>
        <v>590.3345140644003</v>
      </c>
      <c r="E46" s="63">
        <f t="shared" si="5"/>
        <v>617.0058400934437</v>
      </c>
      <c r="F46" s="63">
        <f t="shared" si="5"/>
        <v>643.4218012474705</v>
      </c>
      <c r="G46" s="63">
        <f t="shared" si="5"/>
        <v>695.5462503817504</v>
      </c>
      <c r="H46" s="63">
        <f t="shared" si="5"/>
        <v>721.2803770570206</v>
      </c>
      <c r="I46" s="63">
        <f t="shared" si="5"/>
        <v>746.8108252200927</v>
      </c>
    </row>
    <row r="47" spans="1:9" ht="12.75">
      <c r="A47" s="61" t="s">
        <v>79</v>
      </c>
      <c r="B47" s="10">
        <v>0</v>
      </c>
      <c r="C47" s="55">
        <v>2</v>
      </c>
      <c r="D47" s="63">
        <f t="shared" si="5"/>
        <v>656.335146888812</v>
      </c>
      <c r="E47" s="63">
        <f t="shared" si="5"/>
        <v>685.9883829269168</v>
      </c>
      <c r="F47" s="63">
        <f t="shared" si="5"/>
        <v>715.3577037631129</v>
      </c>
      <c r="G47" s="63">
        <f t="shared" si="5"/>
        <v>773.3097752818619</v>
      </c>
      <c r="H47" s="63">
        <f t="shared" si="5"/>
        <v>801.9210311191347</v>
      </c>
      <c r="I47" s="63">
        <f t="shared" si="5"/>
        <v>830.305836760736</v>
      </c>
    </row>
    <row r="48" spans="1:9" ht="12.75">
      <c r="A48" s="61" t="s">
        <v>80</v>
      </c>
      <c r="B48" s="2">
        <v>0.1063</v>
      </c>
      <c r="C48" s="55">
        <v>5</v>
      </c>
      <c r="D48" s="63">
        <f t="shared" si="5"/>
        <v>706.521122050533</v>
      </c>
      <c r="E48" s="63">
        <f t="shared" si="5"/>
        <v>738.4417615247136</v>
      </c>
      <c r="F48" s="63">
        <f t="shared" si="5"/>
        <v>770.0567765203474</v>
      </c>
      <c r="G48" s="63">
        <f t="shared" si="5"/>
        <v>832.4400921003</v>
      </c>
      <c r="H48" s="63">
        <f t="shared" si="5"/>
        <v>863.2390774559468</v>
      </c>
      <c r="I48" s="63">
        <f t="shared" si="5"/>
        <v>893.7942973404121</v>
      </c>
    </row>
    <row r="49" spans="1:9" ht="12.75">
      <c r="A49" s="61" t="s">
        <v>81</v>
      </c>
      <c r="B49" s="2">
        <v>0.1484</v>
      </c>
      <c r="C49" s="55">
        <v>3</v>
      </c>
      <c r="D49" s="63">
        <f t="shared" si="5"/>
        <v>727.4422356497845</v>
      </c>
      <c r="E49" s="63">
        <f t="shared" si="5"/>
        <v>760.308091485879</v>
      </c>
      <c r="F49" s="63">
        <f t="shared" si="5"/>
        <v>792.8592728600156</v>
      </c>
      <c r="G49" s="63">
        <f t="shared" si="5"/>
        <v>857.0898487570529</v>
      </c>
      <c r="H49" s="63">
        <f t="shared" si="5"/>
        <v>888.8008366717983</v>
      </c>
      <c r="I49" s="63">
        <f t="shared" si="5"/>
        <v>920.2608408667419</v>
      </c>
    </row>
    <row r="50" spans="1:9" ht="12.75">
      <c r="A50" s="61" t="s">
        <v>82</v>
      </c>
      <c r="B50" s="2">
        <v>0.2171</v>
      </c>
      <c r="C50" s="55">
        <v>6</v>
      </c>
      <c r="D50" s="63">
        <f t="shared" si="5"/>
        <v>762.9204802741365</v>
      </c>
      <c r="E50" s="63">
        <f t="shared" si="5"/>
        <v>797.389243964626</v>
      </c>
      <c r="F50" s="63">
        <f t="shared" si="5"/>
        <v>831.5279861360424</v>
      </c>
      <c r="G50" s="63">
        <f t="shared" si="5"/>
        <v>898.8911655201492</v>
      </c>
      <c r="H50" s="63">
        <f t="shared" si="5"/>
        <v>932.1487369729183</v>
      </c>
      <c r="I50" s="63">
        <f t="shared" si="5"/>
        <v>965.1430839239083</v>
      </c>
    </row>
    <row r="51" spans="1:9" ht="12.75">
      <c r="A51" s="61"/>
      <c r="B51" s="2"/>
      <c r="C51" s="55"/>
      <c r="D51" s="63"/>
      <c r="E51" s="63"/>
      <c r="F51" s="63"/>
      <c r="G51" s="63"/>
      <c r="H51" s="63"/>
      <c r="I51" s="63"/>
    </row>
    <row r="52" spans="1:9" ht="12.75">
      <c r="A52" s="54" t="s">
        <v>107</v>
      </c>
      <c r="B52" s="2">
        <v>0.1799</v>
      </c>
      <c r="C52" s="55" t="s">
        <v>109</v>
      </c>
      <c r="D52" s="63">
        <f aca="true" t="shared" si="6" ref="D52:I53">$B$5*(2^$B52)*(D$16^$C$4)*(25^$D$4)*$D$11-D$47</f>
        <v>87.16482709757724</v>
      </c>
      <c r="E52" s="63">
        <f t="shared" si="6"/>
        <v>91.10293585862303</v>
      </c>
      <c r="F52" s="63">
        <f t="shared" si="6"/>
        <v>95.00333915836268</v>
      </c>
      <c r="G52" s="63">
        <f t="shared" si="6"/>
        <v>102.69968502346376</v>
      </c>
      <c r="H52" s="63">
        <f t="shared" si="6"/>
        <v>106.49941322623056</v>
      </c>
      <c r="I52" s="63">
        <f t="shared" si="6"/>
        <v>110.26906762867497</v>
      </c>
    </row>
    <row r="53" spans="1:10" ht="12.75">
      <c r="A53" s="54" t="s">
        <v>108</v>
      </c>
      <c r="B53" s="10">
        <v>0.05</v>
      </c>
      <c r="C53" s="55" t="s">
        <v>110</v>
      </c>
      <c r="D53" s="63">
        <f t="shared" si="6"/>
        <v>23.145608969453292</v>
      </c>
      <c r="E53" s="63">
        <f t="shared" si="6"/>
        <v>24.191328079987557</v>
      </c>
      <c r="F53" s="63">
        <f t="shared" si="6"/>
        <v>25.227034942548812</v>
      </c>
      <c r="G53" s="63">
        <f t="shared" si="6"/>
        <v>27.270710331107693</v>
      </c>
      <c r="H53" s="63">
        <f t="shared" si="6"/>
        <v>28.279684089215266</v>
      </c>
      <c r="I53" s="63">
        <f t="shared" si="6"/>
        <v>29.280672098418563</v>
      </c>
      <c r="J53" s="73"/>
    </row>
    <row r="55" ht="12.75">
      <c r="A55" s="58" t="s">
        <v>102</v>
      </c>
    </row>
    <row r="56" spans="4:9" ht="12.75">
      <c r="D56" s="65" t="s">
        <v>94</v>
      </c>
      <c r="E56" s="66"/>
      <c r="F56" s="66"/>
      <c r="G56" s="66"/>
      <c r="H56" s="66"/>
      <c r="I56" s="66"/>
    </row>
    <row r="57" spans="3:9" ht="12.75">
      <c r="C57" s="55" t="s">
        <v>96</v>
      </c>
      <c r="D57" s="55" t="s">
        <v>88</v>
      </c>
      <c r="E57" s="55" t="s">
        <v>89</v>
      </c>
      <c r="F57" s="55" t="s">
        <v>90</v>
      </c>
      <c r="G57" s="55" t="s">
        <v>91</v>
      </c>
      <c r="H57" s="55" t="s">
        <v>92</v>
      </c>
      <c r="I57" s="55" t="s">
        <v>93</v>
      </c>
    </row>
    <row r="58" spans="3:9" ht="12.75">
      <c r="C58" s="64" t="s">
        <v>97</v>
      </c>
      <c r="D58" s="60">
        <v>0.9</v>
      </c>
      <c r="E58" s="60">
        <v>0.95</v>
      </c>
      <c r="F58" s="60">
        <v>1</v>
      </c>
      <c r="G58" s="60">
        <v>1.1</v>
      </c>
      <c r="H58" s="60">
        <v>1.15</v>
      </c>
      <c r="I58" s="60">
        <v>1.2</v>
      </c>
    </row>
    <row r="59" spans="1:9" ht="12.75">
      <c r="A59" s="61" t="s">
        <v>86</v>
      </c>
      <c r="B59" s="2">
        <v>-0.4302</v>
      </c>
      <c r="C59" s="55">
        <v>0</v>
      </c>
      <c r="D59" s="63">
        <f aca="true" t="shared" si="7" ref="D59:I64">$B$5*(2^$B59)*(D$16^$C$4)*(25^$D$4)*$E$11</f>
        <v>484.4816885337198</v>
      </c>
      <c r="E59" s="63">
        <f t="shared" si="7"/>
        <v>506.3705816309895</v>
      </c>
      <c r="F59" s="63">
        <f t="shared" si="7"/>
        <v>528.0498993046768</v>
      </c>
      <c r="G59" s="63">
        <f t="shared" si="7"/>
        <v>570.8279184257325</v>
      </c>
      <c r="H59" s="63">
        <f t="shared" si="7"/>
        <v>591.9476612961541</v>
      </c>
      <c r="I59" s="63">
        <f t="shared" si="7"/>
        <v>612.9002472290146</v>
      </c>
    </row>
    <row r="60" spans="1:9" ht="12.75">
      <c r="A60" s="61" t="s">
        <v>78</v>
      </c>
      <c r="B60" s="2">
        <v>-0.1529</v>
      </c>
      <c r="C60" s="55" t="s">
        <v>111</v>
      </c>
      <c r="D60" s="63">
        <f t="shared" si="7"/>
        <v>587.1552992938214</v>
      </c>
      <c r="E60" s="63">
        <f t="shared" si="7"/>
        <v>613.682988331223</v>
      </c>
      <c r="F60" s="63">
        <f t="shared" si="7"/>
        <v>639.9566877474061</v>
      </c>
      <c r="G60" s="63">
        <f t="shared" si="7"/>
        <v>691.80042346472</v>
      </c>
      <c r="H60" s="63">
        <f t="shared" si="7"/>
        <v>717.3959603850549</v>
      </c>
      <c r="I60" s="63">
        <f t="shared" si="7"/>
        <v>742.7889156928632</v>
      </c>
    </row>
    <row r="61" spans="1:9" ht="12.75">
      <c r="A61" s="61" t="s">
        <v>79</v>
      </c>
      <c r="B61" s="10">
        <v>0</v>
      </c>
      <c r="C61" s="55">
        <v>2</v>
      </c>
      <c r="D61" s="63">
        <f t="shared" si="7"/>
        <v>652.800489260423</v>
      </c>
      <c r="E61" s="63">
        <f t="shared" si="7"/>
        <v>682.2940293909334</v>
      </c>
      <c r="F61" s="63">
        <f t="shared" si="7"/>
        <v>711.5051833295828</v>
      </c>
      <c r="G61" s="63">
        <f t="shared" si="7"/>
        <v>769.14515708449</v>
      </c>
      <c r="H61" s="63">
        <f t="shared" si="7"/>
        <v>797.6023285424906</v>
      </c>
      <c r="I61" s="63">
        <f t="shared" si="7"/>
        <v>825.8342693401672</v>
      </c>
    </row>
    <row r="62" spans="1:9" ht="12.75">
      <c r="A62" s="61" t="s">
        <v>80</v>
      </c>
      <c r="B62" s="2">
        <v>0.1063</v>
      </c>
      <c r="C62" s="55">
        <v>5</v>
      </c>
      <c r="D62" s="63">
        <f t="shared" si="7"/>
        <v>702.7161905524839</v>
      </c>
      <c r="E62" s="63">
        <f t="shared" si="7"/>
        <v>734.464923139832</v>
      </c>
      <c r="F62" s="63">
        <f t="shared" si="7"/>
        <v>765.9096771728224</v>
      </c>
      <c r="G62" s="63">
        <f t="shared" si="7"/>
        <v>827.9570307624045</v>
      </c>
      <c r="H62" s="63">
        <f t="shared" si="7"/>
        <v>858.5901498391388</v>
      </c>
      <c r="I62" s="63">
        <f t="shared" si="7"/>
        <v>888.980816230524</v>
      </c>
    </row>
    <row r="63" spans="1:9" ht="12.75">
      <c r="A63" s="61" t="s">
        <v>81</v>
      </c>
      <c r="B63" s="2">
        <v>0.1484</v>
      </c>
      <c r="C63" s="55">
        <v>3</v>
      </c>
      <c r="D63" s="63">
        <f t="shared" si="7"/>
        <v>723.5246346198225</v>
      </c>
      <c r="E63" s="63">
        <f t="shared" si="7"/>
        <v>756.2134931572119</v>
      </c>
      <c r="F63" s="63">
        <f t="shared" si="7"/>
        <v>788.5893718950313</v>
      </c>
      <c r="G63" s="63">
        <f t="shared" si="7"/>
        <v>852.4740374806272</v>
      </c>
      <c r="H63" s="63">
        <f t="shared" si="7"/>
        <v>884.0142475757359</v>
      </c>
      <c r="I63" s="63">
        <f t="shared" si="7"/>
        <v>915.304825610365</v>
      </c>
    </row>
    <row r="64" spans="1:9" ht="12.75">
      <c r="A64" s="61" t="s">
        <v>82</v>
      </c>
      <c r="B64" s="2">
        <v>0.2171</v>
      </c>
      <c r="C64" s="55">
        <v>6</v>
      </c>
      <c r="D64" s="63">
        <f t="shared" si="7"/>
        <v>758.8118130661742</v>
      </c>
      <c r="E64" s="63">
        <f t="shared" si="7"/>
        <v>793.0949470839313</v>
      </c>
      <c r="F64" s="63">
        <f t="shared" si="7"/>
        <v>827.049836895754</v>
      </c>
      <c r="G64" s="63">
        <f t="shared" si="7"/>
        <v>894.0502355008468</v>
      </c>
      <c r="H64" s="63">
        <f t="shared" si="7"/>
        <v>927.128700091528</v>
      </c>
      <c r="I64" s="63">
        <f t="shared" si="7"/>
        <v>959.9453577618253</v>
      </c>
    </row>
    <row r="65" spans="1:9" ht="12.75">
      <c r="A65" s="61"/>
      <c r="B65" s="2"/>
      <c r="C65" s="55"/>
      <c r="D65" s="63"/>
      <c r="E65" s="63"/>
      <c r="F65" s="63"/>
      <c r="G65" s="63"/>
      <c r="H65" s="63"/>
      <c r="I65" s="63"/>
    </row>
    <row r="66" spans="1:9" ht="12.75">
      <c r="A66" s="54" t="s">
        <v>107</v>
      </c>
      <c r="B66" s="2">
        <v>0.1799</v>
      </c>
      <c r="C66" s="55" t="s">
        <v>109</v>
      </c>
      <c r="D66" s="63">
        <f aca="true" t="shared" si="8" ref="D66:I67">$B$5*(2^$B66)*(D$16^$C$4)*(25^$D$4)*$E$11-D$61</f>
        <v>86.69540560996063</v>
      </c>
      <c r="E66" s="63">
        <f t="shared" si="8"/>
        <v>90.6123058981101</v>
      </c>
      <c r="F66" s="63">
        <f t="shared" si="8"/>
        <v>94.49170378568715</v>
      </c>
      <c r="G66" s="63">
        <f t="shared" si="8"/>
        <v>102.146601394129</v>
      </c>
      <c r="H66" s="63">
        <f t="shared" si="8"/>
        <v>105.92586636505223</v>
      </c>
      <c r="I66" s="63">
        <f t="shared" si="8"/>
        <v>109.67521949648722</v>
      </c>
    </row>
    <row r="67" spans="1:10" ht="12.75">
      <c r="A67" s="54" t="s">
        <v>108</v>
      </c>
      <c r="B67" s="10">
        <v>0.05</v>
      </c>
      <c r="C67" s="55" t="s">
        <v>110</v>
      </c>
      <c r="D67" s="63">
        <f t="shared" si="8"/>
        <v>23.02095953738285</v>
      </c>
      <c r="E67" s="63">
        <f t="shared" si="8"/>
        <v>24.061046983897995</v>
      </c>
      <c r="F67" s="63">
        <f t="shared" si="8"/>
        <v>25.091176102863074</v>
      </c>
      <c r="G67" s="63">
        <f t="shared" si="8"/>
        <v>27.123845387549068</v>
      </c>
      <c r="H67" s="63">
        <f t="shared" si="8"/>
        <v>28.127385371756304</v>
      </c>
      <c r="I67" s="63">
        <f t="shared" si="8"/>
        <v>29.122982613880595</v>
      </c>
      <c r="J67" s="73"/>
    </row>
    <row r="69" ht="12.75">
      <c r="A69" s="58" t="s">
        <v>103</v>
      </c>
    </row>
    <row r="70" spans="4:9" ht="12.75">
      <c r="D70" s="65" t="s">
        <v>94</v>
      </c>
      <c r="E70" s="66"/>
      <c r="F70" s="66"/>
      <c r="G70" s="66"/>
      <c r="H70" s="66"/>
      <c r="I70" s="66"/>
    </row>
    <row r="71" spans="3:9" ht="12.75">
      <c r="C71" s="55" t="s">
        <v>96</v>
      </c>
      <c r="D71" s="55" t="s">
        <v>88</v>
      </c>
      <c r="E71" s="55" t="s">
        <v>89</v>
      </c>
      <c r="F71" s="55" t="s">
        <v>90</v>
      </c>
      <c r="G71" s="55" t="s">
        <v>91</v>
      </c>
      <c r="H71" s="55" t="s">
        <v>92</v>
      </c>
      <c r="I71" s="55" t="s">
        <v>93</v>
      </c>
    </row>
    <row r="72" spans="3:9" ht="12.75">
      <c r="C72" s="64" t="s">
        <v>97</v>
      </c>
      <c r="D72" s="60">
        <v>0.9</v>
      </c>
      <c r="E72" s="60">
        <v>0.95</v>
      </c>
      <c r="F72" s="60">
        <v>1</v>
      </c>
      <c r="G72" s="60">
        <v>1.1</v>
      </c>
      <c r="H72" s="60">
        <v>1.15</v>
      </c>
      <c r="I72" s="60">
        <v>1.2</v>
      </c>
    </row>
    <row r="73" spans="1:9" ht="12.75">
      <c r="A73" s="61" t="s">
        <v>86</v>
      </c>
      <c r="B73" s="2">
        <v>-0.4302</v>
      </c>
      <c r="C73" s="55">
        <v>0</v>
      </c>
      <c r="D73" s="63">
        <f aca="true" t="shared" si="9" ref="D73:I78">$B$5*(2^$B73)*(D$16^$C$4)*(25^$D$4)*$F$11</f>
        <v>468.7547150711774</v>
      </c>
      <c r="E73" s="63">
        <f t="shared" si="9"/>
        <v>489.93306316950793</v>
      </c>
      <c r="F73" s="63">
        <f t="shared" si="9"/>
        <v>510.90863896438043</v>
      </c>
      <c r="G73" s="63">
        <f t="shared" si="9"/>
        <v>552.2980219668386</v>
      </c>
      <c r="H73" s="63">
        <f t="shared" si="9"/>
        <v>572.7321875625772</v>
      </c>
      <c r="I73" s="63">
        <f t="shared" si="9"/>
        <v>593.0046223757224</v>
      </c>
    </row>
    <row r="74" spans="1:9" ht="12.75">
      <c r="A74" s="61" t="s">
        <v>78</v>
      </c>
      <c r="B74" s="2">
        <v>-0.1529</v>
      </c>
      <c r="C74" s="55" t="s">
        <v>111</v>
      </c>
      <c r="D74" s="63">
        <f t="shared" si="9"/>
        <v>568.0953925338109</v>
      </c>
      <c r="E74" s="63">
        <f t="shared" si="9"/>
        <v>593.7619545742842</v>
      </c>
      <c r="F74" s="63">
        <f t="shared" si="9"/>
        <v>619.1827718624933</v>
      </c>
      <c r="G74" s="63">
        <f t="shared" si="9"/>
        <v>669.3435852421376</v>
      </c>
      <c r="H74" s="63">
        <f t="shared" si="9"/>
        <v>694.1082541659464</v>
      </c>
      <c r="I74" s="63">
        <f t="shared" si="9"/>
        <v>718.6769175681718</v>
      </c>
    </row>
    <row r="75" spans="1:9" ht="12.75">
      <c r="A75" s="61" t="s">
        <v>79</v>
      </c>
      <c r="B75" s="10">
        <v>0</v>
      </c>
      <c r="C75" s="55">
        <v>2</v>
      </c>
      <c r="D75" s="63">
        <f t="shared" si="9"/>
        <v>631.609645078045</v>
      </c>
      <c r="E75" s="63">
        <f t="shared" si="9"/>
        <v>660.1457824131004</v>
      </c>
      <c r="F75" s="63">
        <f t="shared" si="9"/>
        <v>688.4087002188347</v>
      </c>
      <c r="G75" s="63">
        <f t="shared" si="9"/>
        <v>744.1775974004073</v>
      </c>
      <c r="H75" s="63">
        <f t="shared" si="9"/>
        <v>771.7110080828592</v>
      </c>
      <c r="I75" s="63">
        <f t="shared" si="9"/>
        <v>799.0264994166461</v>
      </c>
    </row>
    <row r="76" spans="1:9" ht="12.75">
      <c r="A76" s="61" t="s">
        <v>80</v>
      </c>
      <c r="B76" s="2">
        <v>0.1063</v>
      </c>
      <c r="C76" s="55">
        <v>5</v>
      </c>
      <c r="D76" s="63">
        <f t="shared" si="9"/>
        <v>679.9050108070421</v>
      </c>
      <c r="E76" s="63">
        <f t="shared" si="9"/>
        <v>710.6231338033822</v>
      </c>
      <c r="F76" s="63">
        <f t="shared" si="9"/>
        <v>741.0471458270931</v>
      </c>
      <c r="G76" s="63">
        <f t="shared" si="9"/>
        <v>801.0803529454688</v>
      </c>
      <c r="H76" s="63">
        <f t="shared" si="9"/>
        <v>830.7190768526916</v>
      </c>
      <c r="I76" s="63">
        <f t="shared" si="9"/>
        <v>860.1232184379633</v>
      </c>
    </row>
    <row r="77" spans="1:9" ht="12.75">
      <c r="A77" s="61" t="s">
        <v>81</v>
      </c>
      <c r="B77" s="2">
        <v>0.1484</v>
      </c>
      <c r="C77" s="55">
        <v>3</v>
      </c>
      <c r="D77" s="63">
        <f t="shared" si="9"/>
        <v>700.0379828072438</v>
      </c>
      <c r="E77" s="63">
        <f t="shared" si="9"/>
        <v>731.6657139111192</v>
      </c>
      <c r="F77" s="63">
        <f t="shared" si="9"/>
        <v>762.9906249905381</v>
      </c>
      <c r="G77" s="63">
        <f t="shared" si="9"/>
        <v>824.8015023110526</v>
      </c>
      <c r="H77" s="63">
        <f t="shared" si="9"/>
        <v>855.3178717556094</v>
      </c>
      <c r="I77" s="63">
        <f t="shared" si="9"/>
        <v>885.5927125559427</v>
      </c>
    </row>
    <row r="78" spans="1:9" ht="12.75">
      <c r="A78" s="61" t="s">
        <v>82</v>
      </c>
      <c r="B78" s="2">
        <v>0.2171</v>
      </c>
      <c r="C78" s="55">
        <v>6</v>
      </c>
      <c r="D78" s="63">
        <f t="shared" si="9"/>
        <v>734.179688613188</v>
      </c>
      <c r="E78" s="63">
        <f t="shared" si="9"/>
        <v>767.3499427189265</v>
      </c>
      <c r="F78" s="63">
        <f t="shared" si="9"/>
        <v>800.2026078984617</v>
      </c>
      <c r="G78" s="63">
        <f t="shared" si="9"/>
        <v>865.0280770567243</v>
      </c>
      <c r="H78" s="63">
        <f t="shared" si="9"/>
        <v>897.0327670402087</v>
      </c>
      <c r="I78" s="63">
        <f t="shared" si="9"/>
        <v>928.7841487330545</v>
      </c>
    </row>
    <row r="79" spans="1:9" ht="12.75">
      <c r="A79" s="61"/>
      <c r="B79" s="2"/>
      <c r="C79" s="55"/>
      <c r="D79" s="63"/>
      <c r="E79" s="63"/>
      <c r="F79" s="63"/>
      <c r="G79" s="63"/>
      <c r="H79" s="63"/>
      <c r="I79" s="63"/>
    </row>
    <row r="80" spans="1:9" ht="12.75">
      <c r="A80" s="54" t="s">
        <v>107</v>
      </c>
      <c r="B80" s="2">
        <v>0.1799</v>
      </c>
      <c r="C80" s="55" t="s">
        <v>109</v>
      </c>
      <c r="D80" s="63">
        <f aca="true" t="shared" si="10" ref="D80:I81">$B$5*(2^$B80)*(D$16^$C$4)*(25^$D$4)*$F$11-D$75</f>
        <v>83.88114786684821</v>
      </c>
      <c r="E80" s="63">
        <f t="shared" si="10"/>
        <v>87.67089992969818</v>
      </c>
      <c r="F80" s="63">
        <f t="shared" si="10"/>
        <v>91.42436697391724</v>
      </c>
      <c r="G80" s="63">
        <f t="shared" si="10"/>
        <v>98.8307755797905</v>
      </c>
      <c r="H80" s="63">
        <f t="shared" si="10"/>
        <v>102.48736016606301</v>
      </c>
      <c r="I80" s="63">
        <f t="shared" si="10"/>
        <v>106.11500389424225</v>
      </c>
    </row>
    <row r="81" spans="1:10" ht="12.75">
      <c r="A81" s="54" t="s">
        <v>108</v>
      </c>
      <c r="B81" s="10">
        <v>0.05</v>
      </c>
      <c r="C81" s="55" t="s">
        <v>110</v>
      </c>
      <c r="D81" s="63">
        <f t="shared" si="10"/>
        <v>22.273666031156836</v>
      </c>
      <c r="E81" s="63">
        <f t="shared" si="10"/>
        <v>23.279990741004667</v>
      </c>
      <c r="F81" s="63">
        <f t="shared" si="10"/>
        <v>24.27668038495881</v>
      </c>
      <c r="G81" s="63">
        <f t="shared" si="10"/>
        <v>26.243366296784757</v>
      </c>
      <c r="H81" s="63">
        <f t="shared" si="10"/>
        <v>27.21432992759469</v>
      </c>
      <c r="I81" s="63">
        <f t="shared" si="10"/>
        <v>28.177608649170566</v>
      </c>
      <c r="J81" s="73"/>
    </row>
    <row r="83" ht="12.75">
      <c r="A83" s="58" t="s">
        <v>104</v>
      </c>
    </row>
    <row r="84" spans="4:9" ht="12.75">
      <c r="D84" s="65" t="s">
        <v>94</v>
      </c>
      <c r="E84" s="66"/>
      <c r="F84" s="66"/>
      <c r="G84" s="66"/>
      <c r="H84" s="66"/>
      <c r="I84" s="66"/>
    </row>
    <row r="85" spans="3:9" ht="12.75">
      <c r="C85" s="55" t="s">
        <v>96</v>
      </c>
      <c r="D85" s="55" t="s">
        <v>88</v>
      </c>
      <c r="E85" s="55" t="s">
        <v>89</v>
      </c>
      <c r="F85" s="55" t="s">
        <v>90</v>
      </c>
      <c r="G85" s="55" t="s">
        <v>91</v>
      </c>
      <c r="H85" s="55" t="s">
        <v>92</v>
      </c>
      <c r="I85" s="55" t="s">
        <v>93</v>
      </c>
    </row>
    <row r="86" spans="3:9" ht="12.75">
      <c r="C86" s="64" t="s">
        <v>97</v>
      </c>
      <c r="D86" s="60">
        <v>0.9</v>
      </c>
      <c r="E86" s="60">
        <v>0.95</v>
      </c>
      <c r="F86" s="60">
        <v>1</v>
      </c>
      <c r="G86" s="60">
        <v>1.1</v>
      </c>
      <c r="H86" s="60">
        <v>1.15</v>
      </c>
      <c r="I86" s="60">
        <v>1.2</v>
      </c>
    </row>
    <row r="87" spans="1:9" ht="12.75">
      <c r="A87" s="61" t="s">
        <v>86</v>
      </c>
      <c r="B87" s="2">
        <v>-0.4302</v>
      </c>
      <c r="C87" s="55">
        <v>0</v>
      </c>
      <c r="D87" s="63">
        <f aca="true" t="shared" si="11" ref="D87:I92">$B$5*(2^$B87)*(D$16^$C$4)*(25^$D$4)*$G$11</f>
        <v>506.93340103247624</v>
      </c>
      <c r="E87" s="63">
        <f t="shared" si="11"/>
        <v>529.8366629828253</v>
      </c>
      <c r="F87" s="63">
        <f t="shared" si="11"/>
        <v>552.5206374249696</v>
      </c>
      <c r="G87" s="63">
        <f t="shared" si="11"/>
        <v>597.2810633310555</v>
      </c>
      <c r="H87" s="63">
        <f t="shared" si="11"/>
        <v>619.3795313136883</v>
      </c>
      <c r="I87" s="63">
        <f t="shared" si="11"/>
        <v>641.3030960195418</v>
      </c>
    </row>
    <row r="88" spans="1:9" ht="12.75">
      <c r="A88" s="61" t="s">
        <v>78</v>
      </c>
      <c r="B88" s="2">
        <v>-0.1529</v>
      </c>
      <c r="C88" s="55" t="s">
        <v>111</v>
      </c>
      <c r="D88" s="63">
        <f t="shared" si="11"/>
        <v>614.3650830356245</v>
      </c>
      <c r="E88" s="63">
        <f t="shared" si="11"/>
        <v>642.1221106870956</v>
      </c>
      <c r="F88" s="63">
        <f t="shared" si="11"/>
        <v>669.613378402622</v>
      </c>
      <c r="G88" s="63">
        <f t="shared" si="11"/>
        <v>723.8596417628472</v>
      </c>
      <c r="H88" s="63">
        <f t="shared" si="11"/>
        <v>750.6413197691866</v>
      </c>
      <c r="I88" s="63">
        <f t="shared" si="11"/>
        <v>777.2110281835779</v>
      </c>
    </row>
    <row r="89" spans="1:9" ht="12.75">
      <c r="A89" s="61" t="s">
        <v>79</v>
      </c>
      <c r="B89" s="10">
        <v>0</v>
      </c>
      <c r="C89" s="55">
        <v>2</v>
      </c>
      <c r="D89" s="63">
        <f t="shared" si="11"/>
        <v>683.0523837092726</v>
      </c>
      <c r="E89" s="63">
        <f t="shared" si="11"/>
        <v>713.9127050809581</v>
      </c>
      <c r="F89" s="63">
        <f t="shared" si="11"/>
        <v>744.4775540002628</v>
      </c>
      <c r="G89" s="63">
        <f t="shared" si="11"/>
        <v>804.7886630112778</v>
      </c>
      <c r="H89" s="63">
        <f t="shared" si="11"/>
        <v>834.5645886084419</v>
      </c>
      <c r="I89" s="63">
        <f t="shared" si="11"/>
        <v>864.1048459701351</v>
      </c>
    </row>
    <row r="90" spans="1:9" ht="12.75">
      <c r="A90" s="61" t="s">
        <v>80</v>
      </c>
      <c r="B90" s="2">
        <v>0.1063</v>
      </c>
      <c r="C90" s="55">
        <v>5</v>
      </c>
      <c r="D90" s="63">
        <f t="shared" si="11"/>
        <v>735.281264221739</v>
      </c>
      <c r="E90" s="63">
        <f t="shared" si="11"/>
        <v>768.5012875371399</v>
      </c>
      <c r="F90" s="63">
        <f t="shared" si="11"/>
        <v>801.4032454105468</v>
      </c>
      <c r="G90" s="63">
        <f t="shared" si="11"/>
        <v>866.3259797979422</v>
      </c>
      <c r="H90" s="63">
        <f t="shared" si="11"/>
        <v>898.378690158988</v>
      </c>
      <c r="I90" s="63">
        <f t="shared" si="11"/>
        <v>930.1777121613562</v>
      </c>
    </row>
    <row r="91" spans="1:9" ht="12.75">
      <c r="A91" s="61" t="s">
        <v>81</v>
      </c>
      <c r="B91" s="2">
        <v>0.1484</v>
      </c>
      <c r="C91" s="55">
        <v>3</v>
      </c>
      <c r="D91" s="63">
        <f t="shared" si="11"/>
        <v>757.0540072807696</v>
      </c>
      <c r="E91" s="63">
        <f t="shared" si="11"/>
        <v>791.2577235953748</v>
      </c>
      <c r="F91" s="63">
        <f t="shared" si="11"/>
        <v>825.1339560896305</v>
      </c>
      <c r="G91" s="63">
        <f t="shared" si="11"/>
        <v>891.9791466625545</v>
      </c>
      <c r="H91" s="63">
        <f t="shared" si="11"/>
        <v>924.9809841957381</v>
      </c>
      <c r="I91" s="63">
        <f t="shared" si="11"/>
        <v>957.721621290555</v>
      </c>
    </row>
    <row r="92" spans="1:9" ht="12.75">
      <c r="A92" s="61" t="s">
        <v>82</v>
      </c>
      <c r="B92" s="2">
        <v>0.2171</v>
      </c>
      <c r="C92" s="55">
        <v>6</v>
      </c>
      <c r="D92" s="63">
        <f t="shared" si="11"/>
        <v>793.9764541059274</v>
      </c>
      <c r="E92" s="63">
        <f t="shared" si="11"/>
        <v>829.8483273613895</v>
      </c>
      <c r="F92" s="63">
        <f t="shared" si="11"/>
        <v>865.3767450113627</v>
      </c>
      <c r="G92" s="63">
        <f t="shared" si="11"/>
        <v>935.4820570164569</v>
      </c>
      <c r="H92" s="63">
        <f t="shared" si="11"/>
        <v>970.0934343971713</v>
      </c>
      <c r="I92" s="63">
        <f t="shared" si="11"/>
        <v>1004.4308722757228</v>
      </c>
    </row>
    <row r="93" spans="1:9" ht="12.75">
      <c r="A93" s="61"/>
      <c r="B93" s="2"/>
      <c r="C93" s="55"/>
      <c r="D93" s="63"/>
      <c r="E93" s="63"/>
      <c r="F93" s="63"/>
      <c r="G93" s="63"/>
      <c r="H93" s="63"/>
      <c r="I93" s="63"/>
    </row>
    <row r="94" spans="1:9" ht="12.75">
      <c r="A94" s="54" t="s">
        <v>107</v>
      </c>
      <c r="B94" s="2">
        <v>0.1799</v>
      </c>
      <c r="C94" s="55" t="s">
        <v>109</v>
      </c>
      <c r="D94" s="63">
        <f aca="true" t="shared" si="12" ref="D94:I95">$B$5*(2^$B94)*(D$16^$C$4)*(25^$D$4)*$G$11-D$89</f>
        <v>90.713019418253</v>
      </c>
      <c r="E94" s="63">
        <f t="shared" si="12"/>
        <v>94.81143558458155</v>
      </c>
      <c r="F94" s="63">
        <f t="shared" si="12"/>
        <v>98.87061142476546</v>
      </c>
      <c r="G94" s="63">
        <f t="shared" si="12"/>
        <v>106.88025011915488</v>
      </c>
      <c r="H94" s="63">
        <f t="shared" si="12"/>
        <v>110.83465271156524</v>
      </c>
      <c r="I94" s="63">
        <f t="shared" si="12"/>
        <v>114.75775729853626</v>
      </c>
    </row>
    <row r="95" spans="1:10" ht="12.75">
      <c r="A95" s="54" t="s">
        <v>108</v>
      </c>
      <c r="B95" s="10">
        <v>0.05</v>
      </c>
      <c r="C95" s="55" t="s">
        <v>110</v>
      </c>
      <c r="D95" s="63">
        <f t="shared" si="12"/>
        <v>24.087790291178976</v>
      </c>
      <c r="E95" s="63">
        <f t="shared" si="12"/>
        <v>25.176077174071906</v>
      </c>
      <c r="F95" s="63">
        <f t="shared" si="12"/>
        <v>26.253944243434262</v>
      </c>
      <c r="G95" s="63">
        <f t="shared" si="12"/>
        <v>28.380810909496972</v>
      </c>
      <c r="H95" s="63">
        <f t="shared" si="12"/>
        <v>29.430856657987306</v>
      </c>
      <c r="I95" s="63">
        <f t="shared" si="12"/>
        <v>30.47259158410202</v>
      </c>
      <c r="J95" s="73"/>
    </row>
    <row r="97" ht="12.75">
      <c r="A97" s="58" t="s">
        <v>105</v>
      </c>
    </row>
    <row r="98" spans="4:9" ht="12.75">
      <c r="D98" s="65" t="s">
        <v>94</v>
      </c>
      <c r="E98" s="66"/>
      <c r="F98" s="66"/>
      <c r="G98" s="66"/>
      <c r="H98" s="66"/>
      <c r="I98" s="66"/>
    </row>
    <row r="99" spans="3:9" ht="12.75">
      <c r="C99" s="55" t="s">
        <v>96</v>
      </c>
      <c r="D99" s="55" t="s">
        <v>88</v>
      </c>
      <c r="E99" s="55" t="s">
        <v>89</v>
      </c>
      <c r="F99" s="55" t="s">
        <v>90</v>
      </c>
      <c r="G99" s="55" t="s">
        <v>91</v>
      </c>
      <c r="H99" s="55" t="s">
        <v>92</v>
      </c>
      <c r="I99" s="55" t="s">
        <v>93</v>
      </c>
    </row>
    <row r="100" spans="3:9" ht="12.75">
      <c r="C100" s="64" t="s">
        <v>97</v>
      </c>
      <c r="D100" s="60">
        <v>0.9</v>
      </c>
      <c r="E100" s="60">
        <v>0.95</v>
      </c>
      <c r="F100" s="60">
        <v>1</v>
      </c>
      <c r="G100" s="60">
        <v>1.1</v>
      </c>
      <c r="H100" s="60">
        <v>1.15</v>
      </c>
      <c r="I100" s="60">
        <v>1.2</v>
      </c>
    </row>
    <row r="101" spans="1:9" ht="12.75">
      <c r="A101" s="61" t="s">
        <v>86</v>
      </c>
      <c r="B101" s="2">
        <v>-0.4302</v>
      </c>
      <c r="C101" s="55">
        <v>0</v>
      </c>
      <c r="D101" s="63">
        <f aca="true" t="shared" si="13" ref="D101:I106">$B$5*(2^$B101)*(D$16^$C$4)*(25^$D$4)*$H$11</f>
        <v>428.1954011125747</v>
      </c>
      <c r="E101" s="63">
        <f t="shared" si="13"/>
        <v>447.5412785348197</v>
      </c>
      <c r="F101" s="63">
        <f t="shared" si="13"/>
        <v>466.7019286622298</v>
      </c>
      <c r="G101" s="63">
        <f t="shared" si="13"/>
        <v>504.5100677309718</v>
      </c>
      <c r="H101" s="63">
        <f t="shared" si="13"/>
        <v>523.1761535373608</v>
      </c>
      <c r="I101" s="63">
        <f t="shared" si="13"/>
        <v>541.6945024248491</v>
      </c>
    </row>
    <row r="102" spans="1:9" ht="12.75">
      <c r="A102" s="61" t="s">
        <v>78</v>
      </c>
      <c r="B102" s="2">
        <v>-0.1529</v>
      </c>
      <c r="C102" s="55" t="s">
        <v>111</v>
      </c>
      <c r="D102" s="63">
        <f t="shared" si="13"/>
        <v>518.9405602870232</v>
      </c>
      <c r="E102" s="63">
        <f t="shared" si="13"/>
        <v>542.3863059504721</v>
      </c>
      <c r="F102" s="63">
        <f t="shared" si="13"/>
        <v>565.6075700900367</v>
      </c>
      <c r="G102" s="63">
        <f t="shared" si="13"/>
        <v>611.4281856799373</v>
      </c>
      <c r="H102" s="63">
        <f t="shared" si="13"/>
        <v>634.0500751293912</v>
      </c>
      <c r="I102" s="63">
        <f t="shared" si="13"/>
        <v>656.4929185655758</v>
      </c>
    </row>
    <row r="103" spans="1:9" ht="12.75">
      <c r="A103" s="61" t="s">
        <v>79</v>
      </c>
      <c r="B103" s="10">
        <v>0</v>
      </c>
      <c r="C103" s="55">
        <v>2</v>
      </c>
      <c r="D103" s="63">
        <f t="shared" si="13"/>
        <v>576.9591998230844</v>
      </c>
      <c r="E103" s="63">
        <f t="shared" si="13"/>
        <v>603.0262288673302</v>
      </c>
      <c r="F103" s="63">
        <f t="shared" si="13"/>
        <v>628.8436788840207</v>
      </c>
      <c r="G103" s="63">
        <f t="shared" si="13"/>
        <v>679.7871350893486</v>
      </c>
      <c r="H103" s="63">
        <f t="shared" si="13"/>
        <v>704.9381990725227</v>
      </c>
      <c r="I103" s="63">
        <f t="shared" si="13"/>
        <v>729.8901993238309</v>
      </c>
    </row>
    <row r="104" spans="1:9" ht="12.75">
      <c r="A104" s="61" t="s">
        <v>80</v>
      </c>
      <c r="B104" s="2">
        <v>0.1063</v>
      </c>
      <c r="C104" s="55">
        <v>5</v>
      </c>
      <c r="D104" s="63">
        <f t="shared" si="13"/>
        <v>621.0757768628829</v>
      </c>
      <c r="E104" s="63">
        <f t="shared" si="13"/>
        <v>649.1359938056522</v>
      </c>
      <c r="F104" s="63">
        <f t="shared" si="13"/>
        <v>676.9275479236062</v>
      </c>
      <c r="G104" s="63">
        <f t="shared" si="13"/>
        <v>731.7663418080024</v>
      </c>
      <c r="H104" s="63">
        <f t="shared" si="13"/>
        <v>758.840555386827</v>
      </c>
      <c r="I104" s="63">
        <f t="shared" si="13"/>
        <v>785.7004840353623</v>
      </c>
    </row>
    <row r="105" spans="1:9" ht="12.75">
      <c r="A105" s="61" t="s">
        <v>81</v>
      </c>
      <c r="B105" s="2">
        <v>0.1484</v>
      </c>
      <c r="C105" s="55">
        <v>3</v>
      </c>
      <c r="D105" s="63">
        <f t="shared" si="13"/>
        <v>639.4667300502136</v>
      </c>
      <c r="E105" s="63">
        <f t="shared" si="13"/>
        <v>668.3578506531247</v>
      </c>
      <c r="F105" s="63">
        <f t="shared" si="13"/>
        <v>696.9723529359036</v>
      </c>
      <c r="G105" s="63">
        <f t="shared" si="13"/>
        <v>753.435002924094</v>
      </c>
      <c r="H105" s="63">
        <f t="shared" si="13"/>
        <v>781.310923175536</v>
      </c>
      <c r="I105" s="63">
        <f t="shared" si="13"/>
        <v>808.9662132095779</v>
      </c>
    </row>
    <row r="106" spans="1:9" ht="12.75">
      <c r="A106" s="61" t="s">
        <v>82</v>
      </c>
      <c r="B106" s="2">
        <v>0.2171</v>
      </c>
      <c r="C106" s="55">
        <v>6</v>
      </c>
      <c r="D106" s="63">
        <f t="shared" si="13"/>
        <v>670.6543020195409</v>
      </c>
      <c r="E106" s="63">
        <f t="shared" si="13"/>
        <v>700.9544777941057</v>
      </c>
      <c r="F106" s="63">
        <f t="shared" si="13"/>
        <v>730.9645442358527</v>
      </c>
      <c r="G106" s="63">
        <f t="shared" si="13"/>
        <v>790.1809464950134</v>
      </c>
      <c r="H106" s="63">
        <f t="shared" si="13"/>
        <v>819.4164093593834</v>
      </c>
      <c r="I106" s="63">
        <f t="shared" si="13"/>
        <v>848.4204816016905</v>
      </c>
    </row>
    <row r="108" spans="1:9" ht="12.75">
      <c r="A108" s="54" t="s">
        <v>107</v>
      </c>
      <c r="B108" s="2">
        <v>0.1799</v>
      </c>
      <c r="C108" s="55" t="s">
        <v>109</v>
      </c>
      <c r="D108" s="63">
        <f aca="true" t="shared" si="14" ref="D108:I109">$B$5*(2^$B108)*(D$16^$C$4)*(25^$D$4)*$H$11-D$103</f>
        <v>76.62327567451644</v>
      </c>
      <c r="E108" s="63">
        <f t="shared" si="14"/>
        <v>80.08511691577814</v>
      </c>
      <c r="F108" s="63">
        <f t="shared" si="14"/>
        <v>83.51381272381536</v>
      </c>
      <c r="G108" s="63">
        <f t="shared" si="14"/>
        <v>90.27937689166367</v>
      </c>
      <c r="H108" s="63">
        <f t="shared" si="14"/>
        <v>93.61957306096144</v>
      </c>
      <c r="I108" s="63">
        <f t="shared" si="14"/>
        <v>96.93333249918999</v>
      </c>
    </row>
    <row r="109" spans="1:10" ht="12.75">
      <c r="A109" s="54" t="s">
        <v>108</v>
      </c>
      <c r="B109" s="10">
        <v>0.05</v>
      </c>
      <c r="C109" s="55" t="s">
        <v>110</v>
      </c>
      <c r="D109" s="63">
        <f t="shared" si="14"/>
        <v>20.346422241343248</v>
      </c>
      <c r="E109" s="63">
        <f t="shared" si="14"/>
        <v>21.265674035359552</v>
      </c>
      <c r="F109" s="63">
        <f t="shared" si="14"/>
        <v>22.176124443976732</v>
      </c>
      <c r="G109" s="63">
        <f t="shared" si="14"/>
        <v>23.97264154727418</v>
      </c>
      <c r="H109" s="63">
        <f t="shared" si="14"/>
        <v>24.859591903170326</v>
      </c>
      <c r="I109" s="63">
        <f t="shared" si="14"/>
        <v>25.73952229172278</v>
      </c>
      <c r="J109" s="73"/>
    </row>
  </sheetData>
  <printOptions/>
  <pageMargins left="0.43" right="0.39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5" max="5" width="10.57421875" style="0" customWidth="1"/>
    <col min="6" max="6" width="10.00390625" style="0" customWidth="1"/>
    <col min="7" max="7" width="13.00390625" style="0" customWidth="1"/>
    <col min="8" max="8" width="12.421875" style="0" customWidth="1"/>
    <col min="9" max="9" width="11.57421875" style="0" customWidth="1"/>
  </cols>
  <sheetData>
    <row r="1" spans="1:8" ht="20.25">
      <c r="A1" s="72" t="s">
        <v>120</v>
      </c>
      <c r="B1" s="82"/>
      <c r="C1" s="82"/>
      <c r="D1" s="82"/>
      <c r="E1" s="82"/>
      <c r="F1" s="82"/>
      <c r="G1" s="82"/>
      <c r="H1" s="82"/>
    </row>
    <row r="3" spans="2:6" ht="12.75">
      <c r="B3" s="9" t="s">
        <v>35</v>
      </c>
      <c r="D3" s="79"/>
      <c r="E3" s="78" t="s">
        <v>124</v>
      </c>
      <c r="F3" s="78"/>
    </row>
    <row r="4" spans="1:6" ht="12.75">
      <c r="A4" s="58" t="s">
        <v>119</v>
      </c>
      <c r="B4" s="2">
        <v>0.3455</v>
      </c>
      <c r="D4" s="80" t="s">
        <v>121</v>
      </c>
      <c r="E4" s="10">
        <v>-0.029</v>
      </c>
      <c r="F4" s="6"/>
    </row>
    <row r="6" ht="12.75">
      <c r="A6" s="58" t="s">
        <v>122</v>
      </c>
    </row>
    <row r="8" spans="3:8" ht="12.75">
      <c r="C8" s="65" t="s">
        <v>94</v>
      </c>
      <c r="D8" s="66"/>
      <c r="E8" s="66"/>
      <c r="F8" s="66"/>
      <c r="G8" s="66"/>
      <c r="H8" s="66"/>
    </row>
    <row r="9" spans="2:8" ht="12.75">
      <c r="B9" s="55"/>
      <c r="C9" s="55" t="s">
        <v>88</v>
      </c>
      <c r="D9" s="55" t="s">
        <v>89</v>
      </c>
      <c r="E9" s="55" t="s">
        <v>90</v>
      </c>
      <c r="F9" s="55" t="s">
        <v>91</v>
      </c>
      <c r="G9" s="55" t="s">
        <v>92</v>
      </c>
      <c r="H9" s="55" t="s">
        <v>93</v>
      </c>
    </row>
    <row r="10" spans="2:8" ht="12.75">
      <c r="B10" s="81" t="s">
        <v>125</v>
      </c>
      <c r="C10" s="60">
        <v>1</v>
      </c>
      <c r="D10" s="60">
        <v>1</v>
      </c>
      <c r="E10" s="60">
        <v>0</v>
      </c>
      <c r="F10" s="60">
        <v>0</v>
      </c>
      <c r="G10" s="60">
        <v>0</v>
      </c>
      <c r="H10" s="60">
        <v>0</v>
      </c>
    </row>
    <row r="11" spans="2:8" ht="12.75">
      <c r="B11" t="s">
        <v>123</v>
      </c>
      <c r="C11" s="55">
        <f>B4+E4*C10</f>
        <v>0.31649999999999995</v>
      </c>
      <c r="D11" s="55">
        <f>B4+E4*D10</f>
        <v>0.31649999999999995</v>
      </c>
      <c r="E11" s="55">
        <f>B4+E4*E10</f>
        <v>0.3455</v>
      </c>
      <c r="F11" s="55">
        <f>B4+E4*F10</f>
        <v>0.3455</v>
      </c>
      <c r="G11" s="55">
        <f>B4+E4*G10</f>
        <v>0.3455</v>
      </c>
      <c r="H11" s="55">
        <f>B4+E4*H10</f>
        <v>0.3455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140625" defaultRowHeight="12.75"/>
  <cols>
    <col min="1" max="1" width="11.7109375" style="0" customWidth="1"/>
    <col min="5" max="5" width="10.7109375" style="0" customWidth="1"/>
    <col min="6" max="6" width="10.00390625" style="0" customWidth="1"/>
    <col min="7" max="7" width="12.421875" style="0" customWidth="1"/>
    <col min="8" max="8" width="12.8515625" style="0" customWidth="1"/>
    <col min="9" max="9" width="11.28125" style="0" customWidth="1"/>
  </cols>
  <sheetData>
    <row r="1" spans="1:8" ht="20.25">
      <c r="A1" s="72" t="s">
        <v>133</v>
      </c>
      <c r="B1" s="72"/>
      <c r="C1" s="72"/>
      <c r="D1" s="72"/>
      <c r="E1" s="72"/>
      <c r="F1" s="72"/>
      <c r="G1" s="72"/>
      <c r="H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2:8" ht="25.5" customHeight="1">
      <c r="B3" s="60" t="s">
        <v>35</v>
      </c>
      <c r="D3" s="79"/>
      <c r="E3" s="60" t="s">
        <v>124</v>
      </c>
      <c r="F3" s="57"/>
      <c r="G3" s="2"/>
      <c r="H3" s="2"/>
    </row>
    <row r="4" spans="1:6" ht="13.5" customHeight="1">
      <c r="A4" s="58" t="s">
        <v>119</v>
      </c>
      <c r="B4" s="10">
        <v>0.0441</v>
      </c>
      <c r="D4" s="80" t="s">
        <v>121</v>
      </c>
      <c r="E4" s="10">
        <v>-0.0066</v>
      </c>
      <c r="F4" s="10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4" ht="12.75">
      <c r="A6" s="71" t="s">
        <v>165</v>
      </c>
      <c r="B6" s="67"/>
      <c r="D6" s="62"/>
    </row>
    <row r="8" spans="2:8" ht="25.5">
      <c r="B8" s="57" t="s">
        <v>70</v>
      </c>
      <c r="C8" s="57" t="s">
        <v>71</v>
      </c>
      <c r="D8" s="57" t="s">
        <v>72</v>
      </c>
      <c r="E8" s="57" t="s">
        <v>73</v>
      </c>
      <c r="F8" s="57" t="s">
        <v>74</v>
      </c>
      <c r="G8" s="57" t="s">
        <v>75</v>
      </c>
      <c r="H8" s="57" t="s">
        <v>87</v>
      </c>
    </row>
    <row r="9" spans="1:8" ht="12.75">
      <c r="A9" s="58" t="s">
        <v>121</v>
      </c>
      <c r="B9" s="69">
        <v>-0.0055</v>
      </c>
      <c r="C9" s="69">
        <v>0</v>
      </c>
      <c r="D9" s="69">
        <v>0.0084</v>
      </c>
      <c r="E9" s="69">
        <v>0.0034</v>
      </c>
      <c r="F9" s="69">
        <v>0.0084</v>
      </c>
      <c r="G9" s="69">
        <v>0.0125</v>
      </c>
      <c r="H9" s="69">
        <v>0.0271</v>
      </c>
    </row>
    <row r="10" ht="12" customHeight="1"/>
    <row r="11" spans="2:9" ht="12.75">
      <c r="B11" s="56"/>
      <c r="C11" s="56"/>
      <c r="E11" s="56"/>
      <c r="F11" s="56"/>
      <c r="G11" s="56"/>
      <c r="H11" s="56"/>
      <c r="I11" s="56"/>
    </row>
    <row r="12" spans="1:9" ht="12.75">
      <c r="A12" s="58" t="s">
        <v>126</v>
      </c>
      <c r="B12" s="56"/>
      <c r="C12" s="56"/>
      <c r="E12" s="56"/>
      <c r="F12" s="56"/>
      <c r="G12" s="56"/>
      <c r="H12" s="56"/>
      <c r="I12" s="56"/>
    </row>
    <row r="13" spans="3:8" ht="12.75">
      <c r="C13" s="65" t="s">
        <v>94</v>
      </c>
      <c r="D13" s="66"/>
      <c r="E13" s="66"/>
      <c r="F13" s="66"/>
      <c r="G13" s="66"/>
      <c r="H13" s="66"/>
    </row>
    <row r="14" spans="2:8" ht="12.75">
      <c r="B14" s="55"/>
      <c r="C14" s="55" t="s">
        <v>88</v>
      </c>
      <c r="D14" s="55" t="s">
        <v>89</v>
      </c>
      <c r="E14" s="55" t="s">
        <v>90</v>
      </c>
      <c r="F14" s="55" t="s">
        <v>91</v>
      </c>
      <c r="G14" s="55" t="s">
        <v>92</v>
      </c>
      <c r="H14" s="55" t="s">
        <v>93</v>
      </c>
    </row>
    <row r="15" spans="2:8" ht="12.75">
      <c r="B15" s="81" t="s">
        <v>125</v>
      </c>
      <c r="C15" s="60">
        <v>1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</row>
    <row r="16" spans="2:8" ht="12.75">
      <c r="B16" t="s">
        <v>123</v>
      </c>
      <c r="C16" s="62">
        <f aca="true" t="shared" si="0" ref="C16:H16">$B$4+$E$4*C15+$B$9</f>
        <v>0.032</v>
      </c>
      <c r="D16" s="62">
        <f t="shared" si="0"/>
        <v>0.032</v>
      </c>
      <c r="E16" s="62">
        <f t="shared" si="0"/>
        <v>0.0386</v>
      </c>
      <c r="F16" s="62">
        <f t="shared" si="0"/>
        <v>0.0386</v>
      </c>
      <c r="G16" s="62">
        <f t="shared" si="0"/>
        <v>0.0386</v>
      </c>
      <c r="H16" s="62">
        <f t="shared" si="0"/>
        <v>0.0386</v>
      </c>
    </row>
    <row r="19" ht="12.75">
      <c r="A19" s="58" t="s">
        <v>127</v>
      </c>
    </row>
    <row r="20" spans="3:8" ht="12.75">
      <c r="C20" s="65" t="s">
        <v>94</v>
      </c>
      <c r="D20" s="66"/>
      <c r="E20" s="66"/>
      <c r="F20" s="66"/>
      <c r="G20" s="66"/>
      <c r="H20" s="66"/>
    </row>
    <row r="21" spans="2:8" ht="12.75">
      <c r="B21" s="55"/>
      <c r="C21" s="55" t="s">
        <v>88</v>
      </c>
      <c r="D21" s="55" t="s">
        <v>89</v>
      </c>
      <c r="E21" s="55" t="s">
        <v>90</v>
      </c>
      <c r="F21" s="55" t="s">
        <v>91</v>
      </c>
      <c r="G21" s="55" t="s">
        <v>92</v>
      </c>
      <c r="H21" s="55" t="s">
        <v>93</v>
      </c>
    </row>
    <row r="22" spans="2:8" ht="12.75">
      <c r="B22" s="81" t="s">
        <v>125</v>
      </c>
      <c r="C22" s="60">
        <v>1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</row>
    <row r="23" spans="2:8" ht="12.75">
      <c r="B23" t="s">
        <v>123</v>
      </c>
      <c r="C23" s="62">
        <f aca="true" t="shared" si="1" ref="C23:H23">$B$4+$E$4*C22+$C$9</f>
        <v>0.0375</v>
      </c>
      <c r="D23" s="62">
        <f t="shared" si="1"/>
        <v>0.0375</v>
      </c>
      <c r="E23" s="62">
        <f t="shared" si="1"/>
        <v>0.0441</v>
      </c>
      <c r="F23" s="62">
        <f t="shared" si="1"/>
        <v>0.0441</v>
      </c>
      <c r="G23" s="62">
        <f t="shared" si="1"/>
        <v>0.0441</v>
      </c>
      <c r="H23" s="62">
        <f t="shared" si="1"/>
        <v>0.0441</v>
      </c>
    </row>
    <row r="26" ht="12.75">
      <c r="A26" s="58" t="s">
        <v>128</v>
      </c>
    </row>
    <row r="27" spans="3:8" ht="12.75">
      <c r="C27" s="65" t="s">
        <v>94</v>
      </c>
      <c r="D27" s="66"/>
      <c r="E27" s="66"/>
      <c r="F27" s="66"/>
      <c r="G27" s="66"/>
      <c r="H27" s="66"/>
    </row>
    <row r="28" spans="2:8" ht="12.75">
      <c r="B28" s="55"/>
      <c r="C28" s="55" t="s">
        <v>88</v>
      </c>
      <c r="D28" s="55" t="s">
        <v>89</v>
      </c>
      <c r="E28" s="55" t="s">
        <v>90</v>
      </c>
      <c r="F28" s="55" t="s">
        <v>91</v>
      </c>
      <c r="G28" s="55" t="s">
        <v>92</v>
      </c>
      <c r="H28" s="55" t="s">
        <v>93</v>
      </c>
    </row>
    <row r="29" spans="2:8" ht="12.75">
      <c r="B29" s="81" t="s">
        <v>125</v>
      </c>
      <c r="C29" s="60">
        <v>1</v>
      </c>
      <c r="D29" s="60">
        <v>1</v>
      </c>
      <c r="E29" s="60">
        <v>0</v>
      </c>
      <c r="F29" s="60">
        <v>0</v>
      </c>
      <c r="G29" s="60">
        <v>0</v>
      </c>
      <c r="H29" s="60">
        <v>0</v>
      </c>
    </row>
    <row r="30" spans="2:8" ht="12.75">
      <c r="B30" t="s">
        <v>123</v>
      </c>
      <c r="C30" s="62">
        <f aca="true" t="shared" si="2" ref="C30:H30">$B$4+$E$4*C29+$D$9</f>
        <v>0.045899999999999996</v>
      </c>
      <c r="D30" s="62">
        <f t="shared" si="2"/>
        <v>0.045899999999999996</v>
      </c>
      <c r="E30" s="62">
        <f t="shared" si="2"/>
        <v>0.0525</v>
      </c>
      <c r="F30" s="62">
        <f t="shared" si="2"/>
        <v>0.0525</v>
      </c>
      <c r="G30" s="62">
        <f t="shared" si="2"/>
        <v>0.0525</v>
      </c>
      <c r="H30" s="62">
        <f t="shared" si="2"/>
        <v>0.0525</v>
      </c>
    </row>
    <row r="33" ht="12.75">
      <c r="A33" s="58" t="s">
        <v>129</v>
      </c>
    </row>
    <row r="34" spans="3:8" ht="12.75">
      <c r="C34" s="65" t="s">
        <v>94</v>
      </c>
      <c r="D34" s="66"/>
      <c r="E34" s="66"/>
      <c r="F34" s="66"/>
      <c r="G34" s="66"/>
      <c r="H34" s="66"/>
    </row>
    <row r="35" spans="2:8" ht="12.75">
      <c r="B35" s="55"/>
      <c r="C35" s="55" t="s">
        <v>88</v>
      </c>
      <c r="D35" s="55" t="s">
        <v>89</v>
      </c>
      <c r="E35" s="55" t="s">
        <v>90</v>
      </c>
      <c r="F35" s="55" t="s">
        <v>91</v>
      </c>
      <c r="G35" s="55" t="s">
        <v>92</v>
      </c>
      <c r="H35" s="55" t="s">
        <v>93</v>
      </c>
    </row>
    <row r="36" spans="2:8" ht="12.75">
      <c r="B36" s="81" t="s">
        <v>125</v>
      </c>
      <c r="C36" s="60">
        <v>1</v>
      </c>
      <c r="D36" s="60">
        <v>1</v>
      </c>
      <c r="E36" s="60">
        <v>0</v>
      </c>
      <c r="F36" s="60">
        <v>0</v>
      </c>
      <c r="G36" s="60">
        <v>0</v>
      </c>
      <c r="H36" s="60">
        <v>0</v>
      </c>
    </row>
    <row r="37" spans="2:8" ht="12.75">
      <c r="B37" t="s">
        <v>123</v>
      </c>
      <c r="C37" s="62">
        <f aca="true" t="shared" si="3" ref="C37:H37">$B$4+$E$4*C36+$E$9</f>
        <v>0.0409</v>
      </c>
      <c r="D37" s="62">
        <f t="shared" si="3"/>
        <v>0.0409</v>
      </c>
      <c r="E37" s="62">
        <f t="shared" si="3"/>
        <v>0.0475</v>
      </c>
      <c r="F37" s="62">
        <f t="shared" si="3"/>
        <v>0.0475</v>
      </c>
      <c r="G37" s="62">
        <f t="shared" si="3"/>
        <v>0.0475</v>
      </c>
      <c r="H37" s="62">
        <f t="shared" si="3"/>
        <v>0.0475</v>
      </c>
    </row>
    <row r="40" ht="12.75">
      <c r="A40" s="58" t="s">
        <v>130</v>
      </c>
    </row>
    <row r="41" spans="3:8" ht="12.75">
      <c r="C41" s="65" t="s">
        <v>94</v>
      </c>
      <c r="D41" s="66"/>
      <c r="E41" s="66"/>
      <c r="F41" s="66"/>
      <c r="G41" s="66"/>
      <c r="H41" s="66"/>
    </row>
    <row r="42" spans="2:8" ht="12.75">
      <c r="B42" s="55"/>
      <c r="C42" s="55" t="s">
        <v>88</v>
      </c>
      <c r="D42" s="55" t="s">
        <v>89</v>
      </c>
      <c r="E42" s="55" t="s">
        <v>90</v>
      </c>
      <c r="F42" s="55" t="s">
        <v>91</v>
      </c>
      <c r="G42" s="55" t="s">
        <v>92</v>
      </c>
      <c r="H42" s="55" t="s">
        <v>93</v>
      </c>
    </row>
    <row r="43" spans="2:8" ht="12.75">
      <c r="B43" s="81" t="s">
        <v>125</v>
      </c>
      <c r="C43" s="60">
        <v>1</v>
      </c>
      <c r="D43" s="60">
        <v>1</v>
      </c>
      <c r="E43" s="60">
        <v>0</v>
      </c>
      <c r="F43" s="60">
        <v>0</v>
      </c>
      <c r="G43" s="60">
        <v>0</v>
      </c>
      <c r="H43" s="60">
        <v>0</v>
      </c>
    </row>
    <row r="44" spans="2:8" ht="12.75">
      <c r="B44" t="s">
        <v>123</v>
      </c>
      <c r="C44" s="62">
        <f aca="true" t="shared" si="4" ref="C44:H44">$B$4+$E$4*C43+$F$9</f>
        <v>0.045899999999999996</v>
      </c>
      <c r="D44" s="62">
        <f t="shared" si="4"/>
        <v>0.045899999999999996</v>
      </c>
      <c r="E44" s="62">
        <f t="shared" si="4"/>
        <v>0.0525</v>
      </c>
      <c r="F44" s="62">
        <f t="shared" si="4"/>
        <v>0.0525</v>
      </c>
      <c r="G44" s="62">
        <f t="shared" si="4"/>
        <v>0.0525</v>
      </c>
      <c r="H44" s="62">
        <f t="shared" si="4"/>
        <v>0.0525</v>
      </c>
    </row>
    <row r="47" ht="12.75">
      <c r="A47" s="58" t="s">
        <v>131</v>
      </c>
    </row>
    <row r="48" spans="3:8" ht="12.75">
      <c r="C48" s="65" t="s">
        <v>94</v>
      </c>
      <c r="D48" s="66"/>
      <c r="E48" s="66"/>
      <c r="F48" s="66"/>
      <c r="G48" s="66"/>
      <c r="H48" s="66"/>
    </row>
    <row r="49" spans="2:8" ht="12.75">
      <c r="B49" s="55"/>
      <c r="C49" s="55" t="s">
        <v>88</v>
      </c>
      <c r="D49" s="55" t="s">
        <v>89</v>
      </c>
      <c r="E49" s="55" t="s">
        <v>90</v>
      </c>
      <c r="F49" s="55" t="s">
        <v>91</v>
      </c>
      <c r="G49" s="55" t="s">
        <v>92</v>
      </c>
      <c r="H49" s="55" t="s">
        <v>93</v>
      </c>
    </row>
    <row r="50" spans="2:8" ht="12.75">
      <c r="B50" s="81" t="s">
        <v>125</v>
      </c>
      <c r="C50" s="60">
        <v>1</v>
      </c>
      <c r="D50" s="60">
        <v>1</v>
      </c>
      <c r="E50" s="60">
        <v>0</v>
      </c>
      <c r="F50" s="60">
        <v>0</v>
      </c>
      <c r="G50" s="60">
        <v>0</v>
      </c>
      <c r="H50" s="60">
        <v>0</v>
      </c>
    </row>
    <row r="51" spans="2:8" ht="12.75">
      <c r="B51" t="s">
        <v>123</v>
      </c>
      <c r="C51" s="62">
        <f aca="true" t="shared" si="5" ref="C51:H51">$B$4+$E$4*C50+$G$9</f>
        <v>0.05</v>
      </c>
      <c r="D51" s="62">
        <f t="shared" si="5"/>
        <v>0.05</v>
      </c>
      <c r="E51" s="62">
        <f t="shared" si="5"/>
        <v>0.0566</v>
      </c>
      <c r="F51" s="62">
        <f t="shared" si="5"/>
        <v>0.0566</v>
      </c>
      <c r="G51" s="62">
        <f t="shared" si="5"/>
        <v>0.0566</v>
      </c>
      <c r="H51" s="62">
        <f t="shared" si="5"/>
        <v>0.0566</v>
      </c>
    </row>
    <row r="54" ht="12.75">
      <c r="A54" s="58" t="s">
        <v>132</v>
      </c>
    </row>
    <row r="55" spans="3:8" ht="12.75">
      <c r="C55" s="65" t="s">
        <v>94</v>
      </c>
      <c r="D55" s="66"/>
      <c r="E55" s="66"/>
      <c r="F55" s="66"/>
      <c r="G55" s="66"/>
      <c r="H55" s="66"/>
    </row>
    <row r="56" spans="2:8" ht="12.75">
      <c r="B56" s="55"/>
      <c r="C56" s="55" t="s">
        <v>88</v>
      </c>
      <c r="D56" s="55" t="s">
        <v>89</v>
      </c>
      <c r="E56" s="55" t="s">
        <v>90</v>
      </c>
      <c r="F56" s="55" t="s">
        <v>91</v>
      </c>
      <c r="G56" s="55" t="s">
        <v>92</v>
      </c>
      <c r="H56" s="55" t="s">
        <v>93</v>
      </c>
    </row>
    <row r="57" spans="2:8" ht="12.75">
      <c r="B57" s="81" t="s">
        <v>125</v>
      </c>
      <c r="C57" s="60">
        <v>1</v>
      </c>
      <c r="D57" s="60">
        <v>1</v>
      </c>
      <c r="E57" s="60">
        <v>0</v>
      </c>
      <c r="F57" s="60">
        <v>0</v>
      </c>
      <c r="G57" s="60">
        <v>0</v>
      </c>
      <c r="H57" s="60">
        <v>0</v>
      </c>
    </row>
    <row r="58" spans="2:8" ht="12.75">
      <c r="B58" t="s">
        <v>123</v>
      </c>
      <c r="C58" s="62">
        <f aca="true" t="shared" si="6" ref="C58:H58">$B$4+$E$4*C57+$H$9</f>
        <v>0.06459999999999999</v>
      </c>
      <c r="D58" s="62">
        <f t="shared" si="6"/>
        <v>0.06459999999999999</v>
      </c>
      <c r="E58" s="62">
        <f t="shared" si="6"/>
        <v>0.0712</v>
      </c>
      <c r="F58" s="62">
        <f t="shared" si="6"/>
        <v>0.0712</v>
      </c>
      <c r="G58" s="62">
        <f t="shared" si="6"/>
        <v>0.0712</v>
      </c>
      <c r="H58" s="62">
        <f t="shared" si="6"/>
        <v>0.0712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73">
      <selection activeCell="B81" sqref="B81"/>
    </sheetView>
  </sheetViews>
  <sheetFormatPr defaultColWidth="9.140625" defaultRowHeight="12.75"/>
  <cols>
    <col min="2" max="2" width="11.7109375" style="0" customWidth="1"/>
    <col min="3" max="3" width="10.421875" style="0" customWidth="1"/>
    <col min="4" max="4" width="10.7109375" style="0" customWidth="1"/>
    <col min="5" max="5" width="10.421875" style="0" customWidth="1"/>
    <col min="6" max="6" width="12.8515625" style="0" customWidth="1"/>
    <col min="7" max="7" width="13.140625" style="0" customWidth="1"/>
    <col min="8" max="8" width="11.7109375" style="0" customWidth="1"/>
  </cols>
  <sheetData>
    <row r="1" ht="23.25">
      <c r="A1" s="93" t="s">
        <v>137</v>
      </c>
    </row>
    <row r="2" ht="13.5" customHeight="1">
      <c r="A2" s="24"/>
    </row>
    <row r="3" ht="13.5" customHeight="1">
      <c r="A3" s="92" t="s">
        <v>138</v>
      </c>
    </row>
    <row r="4" ht="13.5" customHeight="1">
      <c r="A4" s="24"/>
    </row>
    <row r="5" ht="15.75">
      <c r="A5" s="88" t="s">
        <v>134</v>
      </c>
    </row>
    <row r="6" spans="2:6" ht="12.75">
      <c r="B6" s="9" t="s">
        <v>66</v>
      </c>
      <c r="C6" s="9" t="s">
        <v>67</v>
      </c>
      <c r="D6" s="9" t="s">
        <v>54</v>
      </c>
      <c r="E6" s="9" t="s">
        <v>69</v>
      </c>
      <c r="F6" s="9" t="s">
        <v>55</v>
      </c>
    </row>
    <row r="7" spans="2:6" ht="12.75">
      <c r="B7" s="2">
        <v>1.4178</v>
      </c>
      <c r="C7" s="2">
        <v>0.8366</v>
      </c>
      <c r="D7" s="2">
        <v>-0.0878</v>
      </c>
      <c r="E7" s="2">
        <v>0.1118</v>
      </c>
      <c r="F7" s="2">
        <v>-0.0102</v>
      </c>
    </row>
    <row r="8" spans="1:5" ht="12.75">
      <c r="A8" s="2"/>
      <c r="B8" s="2" t="s">
        <v>136</v>
      </c>
      <c r="C8" s="2"/>
      <c r="D8" s="2"/>
      <c r="E8" s="2"/>
    </row>
    <row r="9" spans="1:5" ht="12.75">
      <c r="A9" s="2"/>
      <c r="C9" s="2"/>
      <c r="D9" s="2"/>
      <c r="E9" s="2"/>
    </row>
    <row r="11" spans="2:7" ht="12.75">
      <c r="B11" s="65" t="s">
        <v>143</v>
      </c>
      <c r="C11" s="66"/>
      <c r="D11" s="66"/>
      <c r="E11" s="66"/>
      <c r="F11" s="66"/>
      <c r="G11" s="66"/>
    </row>
    <row r="12" spans="2:7" ht="12.75">
      <c r="B12" s="55" t="s">
        <v>139</v>
      </c>
      <c r="C12" s="55" t="s">
        <v>89</v>
      </c>
      <c r="D12" s="55" t="s">
        <v>90</v>
      </c>
      <c r="E12" s="55" t="s">
        <v>91</v>
      </c>
      <c r="F12" s="55" t="s">
        <v>92</v>
      </c>
      <c r="G12" s="55" t="s">
        <v>93</v>
      </c>
    </row>
    <row r="13" spans="2:7" ht="12.75">
      <c r="B13" s="85">
        <v>0.9</v>
      </c>
      <c r="C13" s="85">
        <v>0.95</v>
      </c>
      <c r="D13" s="85">
        <v>1</v>
      </c>
      <c r="E13" s="85">
        <v>1</v>
      </c>
      <c r="F13" s="85">
        <v>1.05</v>
      </c>
      <c r="G13" s="85">
        <v>1.1</v>
      </c>
    </row>
    <row r="14" spans="2:7" ht="12.75">
      <c r="B14" s="84">
        <f aca="true" t="shared" si="0" ref="B14:G14">B13^$B$7</f>
        <v>0.8612416610342724</v>
      </c>
      <c r="C14" s="84">
        <f t="shared" si="0"/>
        <v>0.929857776724602</v>
      </c>
      <c r="D14" s="84">
        <f t="shared" si="0"/>
        <v>1</v>
      </c>
      <c r="E14" s="84">
        <f t="shared" si="0"/>
        <v>1</v>
      </c>
      <c r="F14" s="84">
        <f t="shared" si="0"/>
        <v>1.071623399789274</v>
      </c>
      <c r="G14" s="84">
        <f t="shared" si="0"/>
        <v>1.1446864685632812</v>
      </c>
    </row>
    <row r="15" ht="12.75">
      <c r="B15" s="55"/>
    </row>
    <row r="16" ht="12.75">
      <c r="B16" s="55"/>
    </row>
    <row r="17" spans="2:8" ht="12.75">
      <c r="B17" s="83" t="s">
        <v>142</v>
      </c>
      <c r="C17" s="83"/>
      <c r="D17" s="83"/>
      <c r="E17" s="83"/>
      <c r="F17" s="83"/>
      <c r="G17" s="83"/>
      <c r="H17" s="83"/>
    </row>
    <row r="18" spans="2:8" ht="12.75">
      <c r="B18" s="55" t="s">
        <v>140</v>
      </c>
      <c r="C18" s="55" t="s">
        <v>88</v>
      </c>
      <c r="D18" s="55" t="s">
        <v>89</v>
      </c>
      <c r="E18" s="55" t="s">
        <v>90</v>
      </c>
      <c r="F18" s="55" t="s">
        <v>91</v>
      </c>
      <c r="G18" s="55" t="s">
        <v>92</v>
      </c>
      <c r="H18" s="55" t="s">
        <v>93</v>
      </c>
    </row>
    <row r="19" spans="2:8" ht="12.75">
      <c r="B19" s="85">
        <v>0.75</v>
      </c>
      <c r="C19" s="85">
        <v>0.85</v>
      </c>
      <c r="D19" s="85">
        <v>0.95</v>
      </c>
      <c r="E19" s="85">
        <v>1</v>
      </c>
      <c r="F19" s="85">
        <v>1.05</v>
      </c>
      <c r="G19" s="85">
        <v>1.1</v>
      </c>
      <c r="H19" s="85">
        <v>1.15</v>
      </c>
    </row>
    <row r="20" spans="2:8" ht="12.75">
      <c r="B20" s="84">
        <f>B19^$C$7</f>
        <v>0.7860972064958438</v>
      </c>
      <c r="C20" s="84">
        <f aca="true" t="shared" si="1" ref="C20:H20">C19^$C$7</f>
        <v>0.8728746346129423</v>
      </c>
      <c r="D20" s="84">
        <f t="shared" si="1"/>
        <v>0.9579957186372992</v>
      </c>
      <c r="E20" s="84">
        <f t="shared" si="1"/>
        <v>1</v>
      </c>
      <c r="F20" s="84">
        <f t="shared" si="1"/>
        <v>1.0416623508671612</v>
      </c>
      <c r="G20" s="84">
        <f t="shared" si="1"/>
        <v>1.0830016552643615</v>
      </c>
      <c r="H20" s="84">
        <f t="shared" si="1"/>
        <v>1.124034945163195</v>
      </c>
    </row>
    <row r="21" spans="2:8" ht="12.75">
      <c r="B21" s="55"/>
      <c r="C21" s="55"/>
      <c r="D21" s="55"/>
      <c r="E21" s="55"/>
      <c r="F21" s="55"/>
      <c r="G21" s="55"/>
      <c r="H21" s="55"/>
    </row>
    <row r="22" spans="2:8" ht="12.75">
      <c r="B22" s="55"/>
      <c r="C22" s="55"/>
      <c r="D22" s="55"/>
      <c r="E22" s="55"/>
      <c r="F22" s="55"/>
      <c r="G22" s="55"/>
      <c r="H22" s="55"/>
    </row>
    <row r="23" spans="2:7" ht="12.75">
      <c r="B23" s="65" t="s">
        <v>146</v>
      </c>
      <c r="C23" s="66"/>
      <c r="D23" s="66"/>
      <c r="E23" s="66"/>
      <c r="F23" s="55"/>
      <c r="G23" s="55"/>
    </row>
    <row r="24" spans="3:7" ht="12.75" customHeight="1">
      <c r="C24" s="64" t="s">
        <v>149</v>
      </c>
      <c r="D24" s="55" t="s">
        <v>141</v>
      </c>
      <c r="E24" s="55"/>
      <c r="F24" s="55"/>
      <c r="G24" s="55"/>
    </row>
    <row r="25" spans="2:7" ht="12.75">
      <c r="B25" s="55"/>
      <c r="C25" s="55">
        <v>400</v>
      </c>
      <c r="D25" s="84">
        <f>(C25/824)^$E$7</f>
        <v>0.9223795055605172</v>
      </c>
      <c r="E25" s="55"/>
      <c r="F25" s="55"/>
      <c r="G25" s="55"/>
    </row>
    <row r="26" spans="2:7" ht="12.75">
      <c r="B26" s="55"/>
      <c r="C26" s="55">
        <v>500</v>
      </c>
      <c r="D26" s="84">
        <f aca="true" t="shared" si="2" ref="D26:D35">(C26/824)^$E$7</f>
        <v>0.9456799562147689</v>
      </c>
      <c r="E26" s="55"/>
      <c r="F26" s="55"/>
      <c r="G26" s="55"/>
    </row>
    <row r="27" spans="2:7" ht="12.75">
      <c r="B27" s="55"/>
      <c r="C27" s="55">
        <v>600</v>
      </c>
      <c r="D27" s="84">
        <f t="shared" si="2"/>
        <v>0.9651540724759448</v>
      </c>
      <c r="E27" s="55"/>
      <c r="F27" s="55"/>
      <c r="G27" s="55"/>
    </row>
    <row r="28" spans="2:7" ht="12.75">
      <c r="B28" s="55"/>
      <c r="C28" s="55">
        <v>700</v>
      </c>
      <c r="D28" s="84">
        <f t="shared" si="2"/>
        <v>0.9819317404509912</v>
      </c>
      <c r="E28" s="55"/>
      <c r="F28" s="55"/>
      <c r="G28" s="55"/>
    </row>
    <row r="29" spans="2:7" ht="12.75">
      <c r="B29" s="55"/>
      <c r="C29" s="55">
        <v>800</v>
      </c>
      <c r="D29" s="84">
        <f t="shared" si="2"/>
        <v>0.9967007803347975</v>
      </c>
      <c r="E29" s="55"/>
      <c r="F29" s="55"/>
      <c r="G29" s="55"/>
    </row>
    <row r="30" spans="2:7" ht="12.75">
      <c r="B30" s="55"/>
      <c r="C30" s="55">
        <v>900</v>
      </c>
      <c r="D30" s="84">
        <f t="shared" si="2"/>
        <v>1.0099122736371164</v>
      </c>
      <c r="E30" s="55"/>
      <c r="F30" s="55"/>
      <c r="G30" s="55"/>
    </row>
    <row r="31" spans="2:7" ht="12.75">
      <c r="B31" s="55"/>
      <c r="C31" s="55">
        <v>1000</v>
      </c>
      <c r="D31" s="84">
        <f t="shared" si="2"/>
        <v>1.021878678596026</v>
      </c>
      <c r="E31" s="55"/>
      <c r="F31" s="55"/>
      <c r="G31" s="55"/>
    </row>
    <row r="32" spans="2:7" ht="12.75">
      <c r="B32" s="55"/>
      <c r="C32" s="55">
        <v>1100</v>
      </c>
      <c r="D32" s="84">
        <f t="shared" si="2"/>
        <v>1.032825709292074</v>
      </c>
      <c r="E32" s="55"/>
      <c r="F32" s="55"/>
      <c r="G32" s="55"/>
    </row>
    <row r="33" spans="2:7" ht="12.75">
      <c r="B33" s="55"/>
      <c r="C33" s="55">
        <v>1200</v>
      </c>
      <c r="D33" s="84">
        <f t="shared" si="2"/>
        <v>1.042921933304997</v>
      </c>
      <c r="E33" s="55"/>
      <c r="F33" s="55"/>
      <c r="G33" s="55"/>
    </row>
    <row r="34" spans="2:7" ht="12.75">
      <c r="B34" s="55"/>
      <c r="C34" s="55">
        <v>1300</v>
      </c>
      <c r="D34" s="84">
        <f t="shared" si="2"/>
        <v>1.0522966904682054</v>
      </c>
      <c r="E34" s="55"/>
      <c r="F34" s="55"/>
      <c r="G34" s="55"/>
    </row>
    <row r="35" spans="2:7" ht="12.75">
      <c r="B35" s="55"/>
      <c r="C35" s="55">
        <v>1400</v>
      </c>
      <c r="D35" s="84">
        <f t="shared" si="2"/>
        <v>1.0610514718106958</v>
      </c>
      <c r="E35" s="55"/>
      <c r="F35" s="55"/>
      <c r="G35" s="55"/>
    </row>
    <row r="36" spans="2:7" ht="12.75">
      <c r="B36" s="87" t="s">
        <v>155</v>
      </c>
      <c r="C36" s="55"/>
      <c r="D36" s="55"/>
      <c r="E36" s="55"/>
      <c r="F36" s="55"/>
      <c r="G36" s="55"/>
    </row>
    <row r="37" spans="2:7" ht="12.75">
      <c r="B37" s="87" t="s">
        <v>153</v>
      </c>
      <c r="C37" s="55"/>
      <c r="D37" s="55"/>
      <c r="E37" s="55"/>
      <c r="F37" s="55"/>
      <c r="G37" s="55"/>
    </row>
    <row r="38" spans="2:7" ht="12.75">
      <c r="B38" s="87" t="s">
        <v>154</v>
      </c>
      <c r="C38" s="55"/>
      <c r="D38" s="55"/>
      <c r="E38" s="55"/>
      <c r="F38" s="55"/>
      <c r="G38" s="55"/>
    </row>
    <row r="39" spans="2:7" ht="12.75">
      <c r="B39" s="86"/>
      <c r="C39" s="55"/>
      <c r="D39" s="55"/>
      <c r="E39" s="55"/>
      <c r="F39" s="55"/>
      <c r="G39" s="55"/>
    </row>
    <row r="40" spans="3:7" ht="12.75">
      <c r="C40" s="55"/>
      <c r="D40" s="55"/>
      <c r="E40" s="55"/>
      <c r="F40" s="55"/>
      <c r="G40" s="55"/>
    </row>
    <row r="41" spans="2:7" ht="12.75">
      <c r="B41" s="65" t="s">
        <v>145</v>
      </c>
      <c r="C41" s="66"/>
      <c r="D41" s="66"/>
      <c r="E41" s="66"/>
      <c r="F41" s="55"/>
      <c r="G41" s="55"/>
    </row>
    <row r="42" spans="3:7" ht="12.75">
      <c r="C42" s="55" t="s">
        <v>144</v>
      </c>
      <c r="D42" s="55" t="s">
        <v>141</v>
      </c>
      <c r="E42" s="55"/>
      <c r="F42" s="55"/>
      <c r="G42" s="55"/>
    </row>
    <row r="43" spans="3:7" ht="12.75">
      <c r="C43" s="55">
        <v>5</v>
      </c>
      <c r="D43" s="84">
        <f aca="true" t="shared" si="3" ref="D43:D52">(C43/25)^$D$7</f>
        <v>1.151780088569298</v>
      </c>
      <c r="E43" s="55"/>
      <c r="F43" s="55"/>
      <c r="G43" s="55"/>
    </row>
    <row r="44" spans="3:7" ht="12.75">
      <c r="C44" s="55">
        <v>10</v>
      </c>
      <c r="D44" s="84">
        <f t="shared" si="3"/>
        <v>1.0837750101454888</v>
      </c>
      <c r="E44" s="55"/>
      <c r="F44" s="55"/>
      <c r="G44" s="55"/>
    </row>
    <row r="45" spans="3:7" ht="12.75">
      <c r="C45" s="55">
        <v>15</v>
      </c>
      <c r="D45" s="84">
        <f t="shared" si="3"/>
        <v>1.0458714797298054</v>
      </c>
      <c r="E45" s="55"/>
      <c r="F45" s="55"/>
      <c r="G45" s="55"/>
    </row>
    <row r="46" spans="3:7" ht="12.75">
      <c r="C46" s="55">
        <v>20</v>
      </c>
      <c r="D46" s="84">
        <f t="shared" si="3"/>
        <v>1.0197851866625536</v>
      </c>
      <c r="E46" s="55"/>
      <c r="F46" s="55"/>
      <c r="G46" s="55"/>
    </row>
    <row r="47" spans="3:7" ht="12.75">
      <c r="C47" s="55">
        <v>25</v>
      </c>
      <c r="D47" s="84">
        <f t="shared" si="3"/>
        <v>1</v>
      </c>
      <c r="E47" s="55"/>
      <c r="F47" s="55"/>
      <c r="G47" s="55"/>
    </row>
    <row r="48" spans="3:7" ht="12.75">
      <c r="C48" s="55">
        <v>30</v>
      </c>
      <c r="D48" s="84">
        <f t="shared" si="3"/>
        <v>0.9841196117246905</v>
      </c>
      <c r="E48" s="55"/>
      <c r="F48" s="55"/>
      <c r="G48" s="55"/>
    </row>
    <row r="49" spans="3:7" ht="12.75">
      <c r="C49" s="55">
        <v>35</v>
      </c>
      <c r="D49" s="84">
        <f t="shared" si="3"/>
        <v>0.9708898446630935</v>
      </c>
      <c r="E49" s="55"/>
      <c r="F49" s="55"/>
      <c r="G49" s="55"/>
    </row>
    <row r="50" spans="3:7" ht="12.75">
      <c r="C50" s="55">
        <v>40</v>
      </c>
      <c r="D50" s="84">
        <f t="shared" si="3"/>
        <v>0.9595735435870333</v>
      </c>
      <c r="E50" s="55"/>
      <c r="F50" s="55"/>
      <c r="G50" s="55"/>
    </row>
    <row r="51" spans="3:7" ht="12.75">
      <c r="C51" s="55">
        <v>50</v>
      </c>
      <c r="D51" s="84">
        <f t="shared" si="3"/>
        <v>0.9409565427474242</v>
      </c>
      <c r="E51" s="55"/>
      <c r="F51" s="55"/>
      <c r="G51" s="55"/>
    </row>
    <row r="52" spans="3:7" ht="12.75">
      <c r="C52" s="55">
        <v>60</v>
      </c>
      <c r="D52" s="84">
        <f t="shared" si="3"/>
        <v>0.9260137874984022</v>
      </c>
      <c r="E52" s="55"/>
      <c r="F52" s="55"/>
      <c r="G52" s="55"/>
    </row>
    <row r="53" spans="2:7" ht="12.75">
      <c r="B53" s="71" t="s">
        <v>156</v>
      </c>
      <c r="C53" s="55"/>
      <c r="D53" s="55"/>
      <c r="E53" s="55"/>
      <c r="F53" s="55"/>
      <c r="G53" s="55"/>
    </row>
    <row r="54" spans="2:7" ht="12.75">
      <c r="B54" s="71" t="s">
        <v>157</v>
      </c>
      <c r="C54" s="55"/>
      <c r="D54" s="55"/>
      <c r="E54" s="55"/>
      <c r="F54" s="55"/>
      <c r="G54" s="55"/>
    </row>
    <row r="55" spans="3:7" ht="12.75">
      <c r="C55" s="55"/>
      <c r="D55" s="55"/>
      <c r="E55" s="55"/>
      <c r="F55" s="55"/>
      <c r="G55" s="55"/>
    </row>
    <row r="56" spans="3:7" ht="12.75">
      <c r="C56" s="55"/>
      <c r="D56" s="55"/>
      <c r="E56" s="55"/>
      <c r="F56" s="55"/>
      <c r="G56" s="55"/>
    </row>
    <row r="57" spans="2:7" ht="12.75">
      <c r="B57" s="65" t="s">
        <v>147</v>
      </c>
      <c r="C57" s="66"/>
      <c r="D57" s="66"/>
      <c r="E57" s="66"/>
      <c r="F57" s="55"/>
      <c r="G57" s="55"/>
    </row>
    <row r="58" spans="3:7" ht="12.75">
      <c r="C58" s="64" t="s">
        <v>148</v>
      </c>
      <c r="D58" s="55" t="s">
        <v>141</v>
      </c>
      <c r="E58" s="55"/>
      <c r="F58" s="55"/>
      <c r="G58" s="55"/>
    </row>
    <row r="59" spans="3:7" ht="12.75">
      <c r="C59" s="64">
        <v>5</v>
      </c>
      <c r="D59" s="84">
        <f>C59^$F$7</f>
        <v>0.9837177458686296</v>
      </c>
      <c r="E59" s="55"/>
      <c r="F59" s="55"/>
      <c r="G59" s="55"/>
    </row>
    <row r="60" spans="2:7" ht="12.75">
      <c r="B60" s="55"/>
      <c r="C60" s="55">
        <v>10</v>
      </c>
      <c r="D60" s="84">
        <f>C60^$F$7</f>
        <v>0.9767872901926907</v>
      </c>
      <c r="E60" s="55"/>
      <c r="F60" s="55"/>
      <c r="G60" s="55"/>
    </row>
    <row r="61" spans="2:7" ht="12.75">
      <c r="B61" s="55"/>
      <c r="C61" s="55">
        <v>15</v>
      </c>
      <c r="D61" s="84">
        <f aca="true" t="shared" si="4" ref="D61:D74">C61^$F$7</f>
        <v>0.9727558900835093</v>
      </c>
      <c r="E61" s="55"/>
      <c r="F61" s="55"/>
      <c r="G61" s="55"/>
    </row>
    <row r="62" spans="2:7" ht="12.75">
      <c r="B62" s="55"/>
      <c r="C62" s="55">
        <v>20</v>
      </c>
      <c r="D62" s="84">
        <f t="shared" si="4"/>
        <v>0.9699056607334975</v>
      </c>
      <c r="E62" s="55"/>
      <c r="F62" s="55"/>
      <c r="G62" s="55"/>
    </row>
    <row r="63" spans="2:7" ht="12.75">
      <c r="B63" s="55"/>
      <c r="C63" s="55">
        <v>25</v>
      </c>
      <c r="D63" s="84">
        <f t="shared" si="4"/>
        <v>0.9677006035368575</v>
      </c>
      <c r="E63" s="55"/>
      <c r="F63" s="55"/>
      <c r="G63" s="55"/>
    </row>
    <row r="64" spans="2:7" ht="12.75">
      <c r="B64" s="55"/>
      <c r="C64" s="55">
        <v>30</v>
      </c>
      <c r="D64" s="84">
        <f t="shared" si="4"/>
        <v>0.9659026625108182</v>
      </c>
      <c r="E64" s="55"/>
      <c r="F64" s="55"/>
      <c r="G64" s="55"/>
    </row>
    <row r="65" spans="2:7" ht="12.75">
      <c r="B65" s="55"/>
      <c r="C65" s="55">
        <v>40</v>
      </c>
      <c r="D65" s="84">
        <f t="shared" si="4"/>
        <v>0.9630725135022049</v>
      </c>
      <c r="E65" s="55"/>
      <c r="F65" s="55"/>
      <c r="G65" s="55"/>
    </row>
    <row r="66" spans="2:7" ht="12.75">
      <c r="B66" s="55"/>
      <c r="C66" s="55">
        <v>50</v>
      </c>
      <c r="D66" s="84">
        <f t="shared" si="4"/>
        <v>0.9608829913014807</v>
      </c>
      <c r="E66" s="55"/>
      <c r="F66" s="55"/>
      <c r="G66" s="55"/>
    </row>
    <row r="67" spans="2:7" ht="12.75">
      <c r="B67" s="55"/>
      <c r="C67" s="55">
        <v>60</v>
      </c>
      <c r="D67" s="84">
        <f t="shared" si="4"/>
        <v>0.9590977170699982</v>
      </c>
      <c r="E67" s="55"/>
      <c r="F67" s="55"/>
      <c r="G67" s="55"/>
    </row>
    <row r="68" spans="2:7" ht="12.75">
      <c r="B68" s="55"/>
      <c r="C68" s="55">
        <v>75</v>
      </c>
      <c r="D68" s="84">
        <f t="shared" si="4"/>
        <v>0.956917231473382</v>
      </c>
      <c r="E68" s="55"/>
      <c r="F68" s="55"/>
      <c r="G68" s="55"/>
    </row>
    <row r="69" spans="2:7" ht="12.75">
      <c r="B69" s="55"/>
      <c r="C69" s="55">
        <v>100</v>
      </c>
      <c r="D69" s="84">
        <f t="shared" si="4"/>
        <v>0.9541134102819798</v>
      </c>
      <c r="E69" s="55"/>
      <c r="F69" s="55"/>
      <c r="G69" s="55"/>
    </row>
    <row r="70" spans="2:7" ht="12.75">
      <c r="B70" s="55"/>
      <c r="C70" s="55">
        <v>150</v>
      </c>
      <c r="D70" s="84">
        <f t="shared" si="4"/>
        <v>0.9501755898936499</v>
      </c>
      <c r="E70" s="55"/>
      <c r="F70" s="55"/>
      <c r="G70" s="55"/>
    </row>
    <row r="71" spans="2:7" ht="12.75">
      <c r="B71" s="55"/>
      <c r="C71" s="55">
        <v>200</v>
      </c>
      <c r="D71" s="84">
        <f t="shared" si="4"/>
        <v>0.9473915220904243</v>
      </c>
      <c r="E71" s="55"/>
      <c r="F71" s="55"/>
      <c r="G71" s="55"/>
    </row>
    <row r="72" spans="2:7" ht="12.75">
      <c r="B72" s="55"/>
      <c r="C72" s="55">
        <v>250</v>
      </c>
      <c r="D72" s="84">
        <f t="shared" si="4"/>
        <v>0.9452376502465984</v>
      </c>
      <c r="E72" s="55"/>
      <c r="F72" s="55"/>
      <c r="G72" s="55"/>
    </row>
    <row r="73" spans="2:7" ht="12.75">
      <c r="B73" s="55"/>
      <c r="C73" s="55">
        <v>300</v>
      </c>
      <c r="D73" s="84">
        <f t="shared" si="4"/>
        <v>0.9434814443038474</v>
      </c>
      <c r="E73" s="55"/>
      <c r="F73" s="55"/>
      <c r="G73" s="55"/>
    </row>
    <row r="74" spans="2:7" ht="12.75">
      <c r="B74" s="55"/>
      <c r="C74" s="55">
        <v>400</v>
      </c>
      <c r="D74" s="84">
        <f t="shared" si="4"/>
        <v>0.9407169907228823</v>
      </c>
      <c r="E74" s="55"/>
      <c r="F74" s="55"/>
      <c r="G74" s="55"/>
    </row>
    <row r="75" spans="2:7" ht="12.75">
      <c r="B75" s="87" t="s">
        <v>151</v>
      </c>
      <c r="C75" s="55"/>
      <c r="D75" s="55"/>
      <c r="E75" s="55"/>
      <c r="F75" s="55"/>
      <c r="G75" s="55"/>
    </row>
    <row r="76" spans="2:7" ht="12.75">
      <c r="B76" s="71" t="s">
        <v>152</v>
      </c>
      <c r="C76" s="55"/>
      <c r="D76" s="55"/>
      <c r="E76" s="55"/>
      <c r="F76" s="55"/>
      <c r="G76" s="55"/>
    </row>
    <row r="77" spans="2:7" ht="12.75">
      <c r="B77" s="71"/>
      <c r="C77" s="55"/>
      <c r="D77" s="55"/>
      <c r="E77" s="55"/>
      <c r="F77" s="55"/>
      <c r="G77" s="55"/>
    </row>
    <row r="79" ht="15.75">
      <c r="A79" s="88" t="s">
        <v>135</v>
      </c>
    </row>
    <row r="80" ht="12.75" customHeight="1">
      <c r="B80" s="78" t="s">
        <v>150</v>
      </c>
    </row>
    <row r="81" ht="12.75">
      <c r="B81" s="10">
        <v>0.0069</v>
      </c>
    </row>
    <row r="82" ht="12.75">
      <c r="B82" s="2" t="s">
        <v>159</v>
      </c>
    </row>
    <row r="83" ht="12.75">
      <c r="B83" t="s">
        <v>167</v>
      </c>
    </row>
    <row r="85" spans="2:7" ht="12.75">
      <c r="B85" s="65" t="s">
        <v>147</v>
      </c>
      <c r="C85" s="66"/>
      <c r="D85" s="66"/>
      <c r="E85" s="66"/>
      <c r="F85" s="66"/>
      <c r="G85" s="66"/>
    </row>
    <row r="86" spans="3:7" ht="12.75">
      <c r="C86" s="91" t="s">
        <v>148</v>
      </c>
      <c r="D86" s="55" t="s">
        <v>160</v>
      </c>
      <c r="E86" s="55" t="s">
        <v>119</v>
      </c>
      <c r="F86" s="55" t="s">
        <v>166</v>
      </c>
      <c r="G86" s="89" t="s">
        <v>141</v>
      </c>
    </row>
    <row r="87" spans="2:7" ht="12.75">
      <c r="B87" s="55" t="s">
        <v>164</v>
      </c>
      <c r="C87" s="91">
        <v>5</v>
      </c>
      <c r="D87" s="84">
        <v>0.022</v>
      </c>
      <c r="E87" s="70">
        <v>0.0441</v>
      </c>
      <c r="F87" s="70">
        <v>0.0595</v>
      </c>
      <c r="G87" s="90">
        <f>F87/E87</f>
        <v>1.349206349206349</v>
      </c>
    </row>
    <row r="88" spans="3:7" ht="12.75">
      <c r="C88" s="89">
        <v>10</v>
      </c>
      <c r="D88" s="84">
        <f aca="true" t="shared" si="5" ref="D88:D95">$B$81*(C88^0.5)</f>
        <v>0.02181971585516182</v>
      </c>
      <c r="E88" s="70">
        <v>0.0441</v>
      </c>
      <c r="F88" s="70">
        <v>0.0659</v>
      </c>
      <c r="G88" s="90">
        <f aca="true" t="shared" si="6" ref="G88:G97">F88/E88</f>
        <v>1.4943310657596371</v>
      </c>
    </row>
    <row r="89" spans="2:7" ht="12.75">
      <c r="B89" s="55"/>
      <c r="C89" s="89">
        <v>15</v>
      </c>
      <c r="D89" s="84">
        <f t="shared" si="5"/>
        <v>0.026723585088831176</v>
      </c>
      <c r="E89" s="70">
        <v>0.0441</v>
      </c>
      <c r="F89" s="70">
        <v>0.0708</v>
      </c>
      <c r="G89" s="90">
        <f t="shared" si="6"/>
        <v>1.6054421768707483</v>
      </c>
    </row>
    <row r="90" spans="2:7" ht="12.75">
      <c r="B90" s="55"/>
      <c r="C90" s="89">
        <v>20</v>
      </c>
      <c r="D90" s="84">
        <f t="shared" si="5"/>
        <v>0.0308577380894971</v>
      </c>
      <c r="E90" s="70">
        <v>0.0441</v>
      </c>
      <c r="F90" s="70">
        <v>0.075</v>
      </c>
      <c r="G90" s="90">
        <f t="shared" si="6"/>
        <v>1.7006802721088434</v>
      </c>
    </row>
    <row r="91" spans="2:7" ht="12.75">
      <c r="B91" s="55"/>
      <c r="C91" s="89">
        <v>25</v>
      </c>
      <c r="D91" s="84">
        <f t="shared" si="5"/>
        <v>0.0345</v>
      </c>
      <c r="E91" s="70">
        <v>0.0441</v>
      </c>
      <c r="F91" s="70">
        <v>0.0786</v>
      </c>
      <c r="G91" s="90">
        <f t="shared" si="6"/>
        <v>1.782312925170068</v>
      </c>
    </row>
    <row r="92" spans="2:7" ht="12.75">
      <c r="B92" s="55"/>
      <c r="C92" s="89">
        <v>30</v>
      </c>
      <c r="D92" s="84">
        <f t="shared" si="5"/>
        <v>0.03779285646785646</v>
      </c>
      <c r="E92" s="70">
        <v>0.0441</v>
      </c>
      <c r="F92" s="70">
        <v>0.0819</v>
      </c>
      <c r="G92" s="90">
        <f t="shared" si="6"/>
        <v>1.8571428571428572</v>
      </c>
    </row>
    <row r="93" spans="2:7" ht="12.75">
      <c r="B93" s="55"/>
      <c r="C93" s="89">
        <v>35</v>
      </c>
      <c r="D93" s="84">
        <f t="shared" si="5"/>
        <v>0.04082095050338735</v>
      </c>
      <c r="E93" s="70">
        <v>0.0441</v>
      </c>
      <c r="F93" s="70">
        <v>0.0849</v>
      </c>
      <c r="G93" s="90">
        <f t="shared" si="6"/>
        <v>1.925170068027211</v>
      </c>
    </row>
    <row r="94" spans="2:7" ht="12.75">
      <c r="B94" s="55"/>
      <c r="C94" s="89">
        <v>40</v>
      </c>
      <c r="D94" s="84">
        <f t="shared" si="5"/>
        <v>0.04363943171032364</v>
      </c>
      <c r="E94" s="70">
        <v>0.0441</v>
      </c>
      <c r="F94" s="70">
        <v>0.0877</v>
      </c>
      <c r="G94" s="90">
        <f t="shared" si="6"/>
        <v>1.9886621315192743</v>
      </c>
    </row>
    <row r="95" spans="2:7" ht="12.75">
      <c r="B95" s="55" t="s">
        <v>163</v>
      </c>
      <c r="C95" s="89">
        <v>45</v>
      </c>
      <c r="D95" s="84">
        <f t="shared" si="5"/>
        <v>0.04628660713424565</v>
      </c>
      <c r="E95" s="70">
        <v>0.0441</v>
      </c>
      <c r="F95" s="70">
        <v>0.09</v>
      </c>
      <c r="G95" s="90">
        <f t="shared" si="6"/>
        <v>2.0408163265306123</v>
      </c>
    </row>
    <row r="96" spans="3:7" ht="12.75">
      <c r="C96" s="89">
        <v>50</v>
      </c>
      <c r="D96" s="84">
        <v>0.047</v>
      </c>
      <c r="E96" s="70">
        <v>0.0441</v>
      </c>
      <c r="F96" s="70">
        <v>0.09</v>
      </c>
      <c r="G96" s="90">
        <f t="shared" si="6"/>
        <v>2.0408163265306123</v>
      </c>
    </row>
    <row r="97" spans="2:7" ht="12.75">
      <c r="B97" s="55"/>
      <c r="C97" s="89">
        <v>55</v>
      </c>
      <c r="D97" s="84">
        <v>0.047</v>
      </c>
      <c r="E97" s="70">
        <v>0.0441</v>
      </c>
      <c r="F97" s="70">
        <v>0.09</v>
      </c>
      <c r="G97" s="90">
        <f t="shared" si="6"/>
        <v>2.0408163265306123</v>
      </c>
    </row>
    <row r="98" spans="2:4" ht="12.75">
      <c r="B98" s="55"/>
      <c r="C98" s="55"/>
      <c r="D98" s="84"/>
    </row>
    <row r="99" spans="2:4" ht="12.75">
      <c r="B99" s="55"/>
      <c r="C99" s="55"/>
      <c r="D99" s="84"/>
    </row>
    <row r="100" spans="2:4" ht="12.75">
      <c r="B100" s="55"/>
      <c r="C100" s="55"/>
      <c r="D100" s="84"/>
    </row>
    <row r="101" spans="2:4" ht="12.75">
      <c r="B101" s="55"/>
      <c r="C101" s="55"/>
      <c r="D101" s="84"/>
    </row>
    <row r="102" spans="2:4" ht="12.75">
      <c r="B102" s="55"/>
      <c r="C102" s="55"/>
      <c r="D102" s="84"/>
    </row>
    <row r="103" ht="12.75">
      <c r="B103" s="87" t="s">
        <v>151</v>
      </c>
    </row>
    <row r="104" ht="12.75">
      <c r="B104" s="71" t="s">
        <v>161</v>
      </c>
    </row>
    <row r="105" ht="12.75">
      <c r="B105" s="71" t="s">
        <v>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Widmer</dc:creator>
  <cp:keywords/>
  <dc:description/>
  <cp:lastModifiedBy>Gene Widmer</cp:lastModifiedBy>
  <cp:lastPrinted>2009-09-25T16:33:37Z</cp:lastPrinted>
  <dcterms:created xsi:type="dcterms:W3CDTF">2009-06-17T19:01:45Z</dcterms:created>
  <dcterms:modified xsi:type="dcterms:W3CDTF">2010-04-28T17:09:51Z</dcterms:modified>
  <cp:category/>
  <cp:version/>
  <cp:contentType/>
  <cp:contentStatus/>
</cp:coreProperties>
</file>